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cbook/Desktop/Assignments/"/>
    </mc:Choice>
  </mc:AlternateContent>
  <xr:revisionPtr revIDLastSave="0" documentId="13_ncr:1_{B0C248CE-A7A8-684E-AABB-2273D271DB25}" xr6:coauthVersionLast="47" xr6:coauthVersionMax="47" xr10:uidLastSave="{00000000-0000-0000-0000-000000000000}"/>
  <bookViews>
    <workbookView xWindow="0" yWindow="0" windowWidth="28800" windowHeight="18000" activeTab="3" xr2:uid="{895A9E95-A2CC-3B44-9597-A814859DDB08}"/>
  </bookViews>
  <sheets>
    <sheet name="Data Dump" sheetId="1" r:id="rId1"/>
    <sheet name="Question 1" sheetId="2" r:id="rId2"/>
    <sheet name="Question 2" sheetId="3" r:id="rId3"/>
    <sheet name="Question 3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4" i="3" l="1"/>
  <c r="C4" i="4" s="1"/>
  <c r="D4" i="3" l="1"/>
  <c r="E22" i="2" l="1"/>
  <c r="H6" i="2"/>
  <c r="E6" i="2"/>
  <c r="M6" i="2" l="1"/>
  <c r="S23" i="1" l="1"/>
  <c r="R22" i="1"/>
  <c r="P22" i="1"/>
  <c r="Q22" i="1" s="1"/>
  <c r="I7" i="2" s="1"/>
  <c r="O23" i="1"/>
  <c r="O24" i="1" s="1"/>
  <c r="O25" i="1" s="1"/>
  <c r="O26" i="1" s="1"/>
  <c r="O27" i="1" s="1"/>
  <c r="O28" i="1" s="1"/>
  <c r="O29" i="1" s="1"/>
  <c r="O30" i="1" s="1"/>
  <c r="O31" i="1" s="1"/>
  <c r="N22" i="1"/>
  <c r="M22" i="1"/>
  <c r="M23" i="1" s="1"/>
  <c r="M24" i="1" s="1"/>
  <c r="M25" i="1" s="1"/>
  <c r="M26" i="1" s="1"/>
  <c r="M27" i="1" s="1"/>
  <c r="M28" i="1" s="1"/>
  <c r="M29" i="1" s="1"/>
  <c r="M30" i="1" s="1"/>
  <c r="M31" i="1" s="1"/>
  <c r="J22" i="1"/>
  <c r="K23" i="1"/>
  <c r="I22" i="1"/>
  <c r="I23" i="1" s="1"/>
  <c r="I24" i="1" s="1"/>
  <c r="I25" i="1" s="1"/>
  <c r="I26" i="1" s="1"/>
  <c r="I27" i="1" s="1"/>
  <c r="I28" i="1" s="1"/>
  <c r="I29" i="1" s="1"/>
  <c r="I30" i="1" s="1"/>
  <c r="I31" i="1" s="1"/>
  <c r="L31" i="1" s="1"/>
  <c r="H22" i="1"/>
  <c r="H23" i="1" s="1"/>
  <c r="H24" i="1" s="1"/>
  <c r="H25" i="1" s="1"/>
  <c r="H26" i="1" s="1"/>
  <c r="H27" i="1" s="1"/>
  <c r="H28" i="1" s="1"/>
  <c r="H29" i="1" s="1"/>
  <c r="H30" i="1" s="1"/>
  <c r="H31" i="1" s="1"/>
  <c r="G22" i="1"/>
  <c r="G23" i="1" s="1"/>
  <c r="G24" i="1" s="1"/>
  <c r="G25" i="1" s="1"/>
  <c r="G26" i="1" s="1"/>
  <c r="G27" i="1" s="1"/>
  <c r="G28" i="1" s="1"/>
  <c r="G29" i="1" s="1"/>
  <c r="G30" i="1" s="1"/>
  <c r="G31" i="1" s="1"/>
  <c r="F22" i="1"/>
  <c r="F23" i="1" s="1"/>
  <c r="F24" i="1" s="1"/>
  <c r="F25" i="1" s="1"/>
  <c r="F26" i="1" s="1"/>
  <c r="F27" i="1" s="1"/>
  <c r="F28" i="1" s="1"/>
  <c r="F29" i="1" s="1"/>
  <c r="F30" i="1" s="1"/>
  <c r="F31" i="1" s="1"/>
  <c r="E22" i="1"/>
  <c r="E23" i="1" s="1"/>
  <c r="E24" i="1" s="1"/>
  <c r="E25" i="1" s="1"/>
  <c r="E26" i="1" s="1"/>
  <c r="E27" i="1" s="1"/>
  <c r="E28" i="1" s="1"/>
  <c r="E29" i="1" s="1"/>
  <c r="E30" i="1" s="1"/>
  <c r="E31" i="1" s="1"/>
  <c r="D22" i="1"/>
  <c r="D23" i="1" s="1"/>
  <c r="D24" i="1" s="1"/>
  <c r="D25" i="1" s="1"/>
  <c r="D26" i="1" s="1"/>
  <c r="D27" i="1" s="1"/>
  <c r="D28" i="1" s="1"/>
  <c r="D29" i="1" s="1"/>
  <c r="D30" i="1" s="1"/>
  <c r="D31" i="1" s="1"/>
  <c r="C22" i="1"/>
  <c r="B31" i="1"/>
  <c r="D16" i="2" s="1"/>
  <c r="B30" i="1"/>
  <c r="D15" i="2" s="1"/>
  <c r="B29" i="1"/>
  <c r="D14" i="2" s="1"/>
  <c r="B28" i="1"/>
  <c r="D13" i="2" s="1"/>
  <c r="B27" i="1"/>
  <c r="D12" i="2" s="1"/>
  <c r="B26" i="1"/>
  <c r="D11" i="2" s="1"/>
  <c r="B25" i="1"/>
  <c r="D10" i="2" s="1"/>
  <c r="B24" i="1"/>
  <c r="D9" i="2" s="1"/>
  <c r="B23" i="1"/>
  <c r="D8" i="2" s="1"/>
  <c r="B22" i="1"/>
  <c r="D7" i="2" s="1"/>
  <c r="N23" i="1" l="1"/>
  <c r="H7" i="2"/>
  <c r="C23" i="1"/>
  <c r="E7" i="2"/>
  <c r="B22" i="2"/>
  <c r="R23" i="1"/>
  <c r="T22" i="1"/>
  <c r="L7" i="2" s="1"/>
  <c r="S24" i="1"/>
  <c r="E23" i="2"/>
  <c r="K24" i="1"/>
  <c r="J23" i="1"/>
  <c r="J24" i="1" s="1"/>
  <c r="J25" i="1" s="1"/>
  <c r="J26" i="1" s="1"/>
  <c r="J27" i="1" s="1"/>
  <c r="J28" i="1" s="1"/>
  <c r="J29" i="1" s="1"/>
  <c r="J30" i="1" s="1"/>
  <c r="J31" i="1" s="1"/>
  <c r="C22" i="2"/>
  <c r="D45" i="1"/>
  <c r="D47" i="1"/>
  <c r="D43" i="1"/>
  <c r="D42" i="1"/>
  <c r="D44" i="1"/>
  <c r="D39" i="1"/>
  <c r="D41" i="1"/>
  <c r="D46" i="1"/>
  <c r="D48" i="1"/>
  <c r="D40" i="1"/>
  <c r="C39" i="1"/>
  <c r="C40" i="1"/>
  <c r="P23" i="1"/>
  <c r="L26" i="1"/>
  <c r="L25" i="1"/>
  <c r="L27" i="1"/>
  <c r="L29" i="1"/>
  <c r="L22" i="1"/>
  <c r="F7" i="2" s="1"/>
  <c r="L24" i="1"/>
  <c r="L23" i="1"/>
  <c r="F8" i="2" s="1"/>
  <c r="L30" i="1"/>
  <c r="L28" i="1"/>
  <c r="S25" i="1" l="1"/>
  <c r="E24" i="2"/>
  <c r="N24" i="1"/>
  <c r="H8" i="2"/>
  <c r="C23" i="2"/>
  <c r="F22" i="2"/>
  <c r="C35" i="2" s="1"/>
  <c r="R24" i="1"/>
  <c r="T23" i="1"/>
  <c r="L8" i="2" s="1"/>
  <c r="K25" i="1"/>
  <c r="F9" i="2"/>
  <c r="C24" i="2"/>
  <c r="C24" i="1"/>
  <c r="B23" i="2"/>
  <c r="F23" i="2" s="1"/>
  <c r="E8" i="2"/>
  <c r="G40" i="1"/>
  <c r="K8" i="2" s="1"/>
  <c r="F40" i="1"/>
  <c r="J8" i="2" s="1"/>
  <c r="E40" i="1"/>
  <c r="D23" i="2" s="1"/>
  <c r="G39" i="1"/>
  <c r="K7" i="2" s="1"/>
  <c r="F39" i="1"/>
  <c r="J7" i="2" s="1"/>
  <c r="M7" i="2" s="1"/>
  <c r="E39" i="1"/>
  <c r="D22" i="2" s="1"/>
  <c r="Q23" i="1"/>
  <c r="I8" i="2" s="1"/>
  <c r="P24" i="1"/>
  <c r="B35" i="2" l="1"/>
  <c r="D35" i="2" s="1"/>
  <c r="B5" i="3" s="1"/>
  <c r="C5" i="3" s="1"/>
  <c r="B5" i="4"/>
  <c r="R25" i="1"/>
  <c r="T24" i="1"/>
  <c r="L9" i="2" s="1"/>
  <c r="M8" i="2"/>
  <c r="B36" i="2" s="1"/>
  <c r="D36" i="2" s="1"/>
  <c r="C25" i="1"/>
  <c r="B24" i="2"/>
  <c r="E9" i="2"/>
  <c r="C41" i="1"/>
  <c r="N25" i="1"/>
  <c r="H9" i="2"/>
  <c r="K26" i="1"/>
  <c r="C25" i="2"/>
  <c r="F10" i="2"/>
  <c r="S26" i="1"/>
  <c r="E25" i="2"/>
  <c r="C36" i="2"/>
  <c r="P25" i="1"/>
  <c r="Q24" i="1"/>
  <c r="I9" i="2" s="1"/>
  <c r="B6" i="3" l="1"/>
  <c r="C6" i="3" s="1"/>
  <c r="B6" i="4"/>
  <c r="C26" i="1"/>
  <c r="B25" i="2"/>
  <c r="E10" i="2"/>
  <c r="C42" i="1"/>
  <c r="R26" i="1"/>
  <c r="T25" i="1"/>
  <c r="L10" i="2" s="1"/>
  <c r="K27" i="1"/>
  <c r="C26" i="2"/>
  <c r="F11" i="2"/>
  <c r="S27" i="1"/>
  <c r="E26" i="2"/>
  <c r="N26" i="1"/>
  <c r="H10" i="2"/>
  <c r="G41" i="1"/>
  <c r="K9" i="2" s="1"/>
  <c r="F41" i="1"/>
  <c r="J9" i="2" s="1"/>
  <c r="E41" i="1"/>
  <c r="D24" i="2" s="1"/>
  <c r="F24" i="2" s="1"/>
  <c r="C5" i="4"/>
  <c r="D5" i="3"/>
  <c r="P26" i="1"/>
  <c r="Q25" i="1"/>
  <c r="I10" i="2" s="1"/>
  <c r="M9" i="2" l="1"/>
  <c r="C37" i="2"/>
  <c r="B37" i="2"/>
  <c r="D37" i="2" s="1"/>
  <c r="E42" i="1"/>
  <c r="D25" i="2" s="1"/>
  <c r="F25" i="2" s="1"/>
  <c r="C38" i="2" s="1"/>
  <c r="G42" i="1"/>
  <c r="K10" i="2" s="1"/>
  <c r="F42" i="1"/>
  <c r="J10" i="2" s="1"/>
  <c r="M10" i="2" s="1"/>
  <c r="K28" i="1"/>
  <c r="C27" i="2"/>
  <c r="F12" i="2"/>
  <c r="S28" i="1"/>
  <c r="E27" i="2"/>
  <c r="R27" i="1"/>
  <c r="T26" i="1"/>
  <c r="L11" i="2" s="1"/>
  <c r="C27" i="1"/>
  <c r="B26" i="2"/>
  <c r="E11" i="2"/>
  <c r="C43" i="1"/>
  <c r="N27" i="1"/>
  <c r="H11" i="2"/>
  <c r="D6" i="3"/>
  <c r="C6" i="4"/>
  <c r="P27" i="1"/>
  <c r="Q26" i="1"/>
  <c r="I11" i="2" s="1"/>
  <c r="K29" i="1" l="1"/>
  <c r="F13" i="2"/>
  <c r="C28" i="2"/>
  <c r="R28" i="1"/>
  <c r="T27" i="1"/>
  <c r="L12" i="2" s="1"/>
  <c r="N28" i="1"/>
  <c r="H12" i="2"/>
  <c r="G43" i="1"/>
  <c r="K11" i="2" s="1"/>
  <c r="M11" i="2" s="1"/>
  <c r="F43" i="1"/>
  <c r="J11" i="2" s="1"/>
  <c r="E43" i="1"/>
  <c r="D26" i="2" s="1"/>
  <c r="C28" i="1"/>
  <c r="E12" i="2"/>
  <c r="B27" i="2"/>
  <c r="C44" i="1"/>
  <c r="S29" i="1"/>
  <c r="E28" i="2"/>
  <c r="B7" i="3"/>
  <c r="C7" i="3" s="1"/>
  <c r="B7" i="4"/>
  <c r="B38" i="2"/>
  <c r="D38" i="2" s="1"/>
  <c r="F26" i="2"/>
  <c r="P28" i="1"/>
  <c r="Q27" i="1"/>
  <c r="I12" i="2" s="1"/>
  <c r="N29" i="1" l="1"/>
  <c r="H13" i="2"/>
  <c r="S30" i="1"/>
  <c r="E29" i="2"/>
  <c r="B8" i="3"/>
  <c r="C8" i="3" s="1"/>
  <c r="B8" i="4"/>
  <c r="D7" i="3"/>
  <c r="C7" i="4"/>
  <c r="K30" i="1"/>
  <c r="C29" i="2"/>
  <c r="F14" i="2"/>
  <c r="E44" i="1"/>
  <c r="D27" i="2" s="1"/>
  <c r="F27" i="2" s="1"/>
  <c r="C40" i="2" s="1"/>
  <c r="F44" i="1"/>
  <c r="J12" i="2" s="1"/>
  <c r="G44" i="1"/>
  <c r="K12" i="2" s="1"/>
  <c r="M12" i="2" s="1"/>
  <c r="B40" i="2" s="1"/>
  <c r="D40" i="2" s="1"/>
  <c r="C39" i="2"/>
  <c r="B39" i="2"/>
  <c r="R29" i="1"/>
  <c r="T28" i="1"/>
  <c r="L13" i="2" s="1"/>
  <c r="C29" i="1"/>
  <c r="E13" i="2"/>
  <c r="B28" i="2"/>
  <c r="C45" i="1"/>
  <c r="P29" i="1"/>
  <c r="Q28" i="1"/>
  <c r="I13" i="2" s="1"/>
  <c r="D39" i="2" l="1"/>
  <c r="D8" i="3"/>
  <c r="C8" i="4"/>
  <c r="C30" i="1"/>
  <c r="B29" i="2"/>
  <c r="E14" i="2"/>
  <c r="C46" i="1"/>
  <c r="B9" i="3"/>
  <c r="C9" i="3" s="1"/>
  <c r="B9" i="4"/>
  <c r="G45" i="1"/>
  <c r="K13" i="2" s="1"/>
  <c r="E45" i="1"/>
  <c r="D28" i="2" s="1"/>
  <c r="F45" i="1"/>
  <c r="J13" i="2" s="1"/>
  <c r="M13" i="2" s="1"/>
  <c r="B10" i="4"/>
  <c r="B10" i="3"/>
  <c r="C10" i="3" s="1"/>
  <c r="R30" i="1"/>
  <c r="T29" i="1"/>
  <c r="L14" i="2" s="1"/>
  <c r="K31" i="1"/>
  <c r="F15" i="2"/>
  <c r="C30" i="2"/>
  <c r="S31" i="1"/>
  <c r="E31" i="2" s="1"/>
  <c r="E30" i="2"/>
  <c r="F28" i="2"/>
  <c r="N30" i="1"/>
  <c r="H14" i="2"/>
  <c r="P30" i="1"/>
  <c r="Q29" i="1"/>
  <c r="I14" i="2" s="1"/>
  <c r="C41" i="2" l="1"/>
  <c r="B41" i="2"/>
  <c r="D41" i="2" s="1"/>
  <c r="C10" i="4"/>
  <c r="D10" i="3"/>
  <c r="C31" i="1"/>
  <c r="E15" i="2"/>
  <c r="B30" i="2"/>
  <c r="C47" i="1"/>
  <c r="N31" i="1"/>
  <c r="H16" i="2" s="1"/>
  <c r="H15" i="2"/>
  <c r="C9" i="4"/>
  <c r="D9" i="3"/>
  <c r="E46" i="1"/>
  <c r="D29" i="2" s="1"/>
  <c r="F29" i="2" s="1"/>
  <c r="C42" i="2" s="1"/>
  <c r="G46" i="1"/>
  <c r="K14" i="2" s="1"/>
  <c r="F46" i="1"/>
  <c r="J14" i="2" s="1"/>
  <c r="F16" i="2"/>
  <c r="C31" i="2"/>
  <c r="R31" i="1"/>
  <c r="T31" i="1" s="1"/>
  <c r="L16" i="2" s="1"/>
  <c r="T30" i="1"/>
  <c r="L15" i="2" s="1"/>
  <c r="P31" i="1"/>
  <c r="Q31" i="1" s="1"/>
  <c r="I16" i="2" s="1"/>
  <c r="Q30" i="1"/>
  <c r="I15" i="2" s="1"/>
  <c r="M14" i="2" l="1"/>
  <c r="B42" i="2" s="1"/>
  <c r="D42" i="2" s="1"/>
  <c r="B12" i="4" s="1"/>
  <c r="B11" i="3"/>
  <c r="C11" i="3" s="1"/>
  <c r="B11" i="4"/>
  <c r="B31" i="2"/>
  <c r="E16" i="2"/>
  <c r="C48" i="1"/>
  <c r="F47" i="1"/>
  <c r="J15" i="2" s="1"/>
  <c r="E47" i="1"/>
  <c r="D30" i="2" s="1"/>
  <c r="G47" i="1"/>
  <c r="K15" i="2" s="1"/>
  <c r="F30" i="2"/>
  <c r="B12" i="3" l="1"/>
  <c r="C12" i="3" s="1"/>
  <c r="M15" i="2"/>
  <c r="B43" i="2" s="1"/>
  <c r="G48" i="1"/>
  <c r="K16" i="2" s="1"/>
  <c r="E48" i="1"/>
  <c r="D31" i="2" s="1"/>
  <c r="F48" i="1"/>
  <c r="J16" i="2" s="1"/>
  <c r="F31" i="2"/>
  <c r="M16" i="2"/>
  <c r="C43" i="2"/>
  <c r="D11" i="3"/>
  <c r="C11" i="4"/>
  <c r="D12" i="3"/>
  <c r="C12" i="4"/>
  <c r="D43" i="2" l="1"/>
  <c r="C44" i="2"/>
  <c r="B44" i="2"/>
  <c r="D44" i="2" s="1"/>
  <c r="B13" i="4"/>
  <c r="B13" i="3"/>
  <c r="C13" i="3" s="1"/>
  <c r="C13" i="4" l="1"/>
  <c r="D13" i="3"/>
  <c r="B14" i="4"/>
  <c r="B16" i="4" s="1"/>
  <c r="B17" i="4" s="1"/>
  <c r="B14" i="3"/>
  <c r="C14" i="3" s="1"/>
  <c r="C14" i="4" l="1"/>
  <c r="D14" i="3"/>
  <c r="D15" i="3" s="1"/>
  <c r="C15" i="3"/>
  <c r="C18" i="3"/>
</calcChain>
</file>

<file path=xl/sharedStrings.xml><?xml version="1.0" encoding="utf-8"?>
<sst xmlns="http://schemas.openxmlformats.org/spreadsheetml/2006/main" count="154" uniqueCount="94">
  <si>
    <t>Research and Development</t>
  </si>
  <si>
    <t>Year 1</t>
  </si>
  <si>
    <t>Year 2</t>
  </si>
  <si>
    <t>Year 3</t>
  </si>
  <si>
    <t>Year 4</t>
  </si>
  <si>
    <t>Year 5</t>
  </si>
  <si>
    <t>Year 6</t>
  </si>
  <si>
    <t>Year 7</t>
  </si>
  <si>
    <t>Year 8</t>
  </si>
  <si>
    <t>Year 9</t>
  </si>
  <si>
    <t>Year 10</t>
  </si>
  <si>
    <t>Infrastructure</t>
  </si>
  <si>
    <t>Depreciation</t>
  </si>
  <si>
    <t>Less: Salvage Value</t>
  </si>
  <si>
    <t>US and Russia</t>
  </si>
  <si>
    <t>International</t>
  </si>
  <si>
    <t>Participants:</t>
  </si>
  <si>
    <t>Participant Growth (WA)- US &amp; Russia</t>
  </si>
  <si>
    <t>Participant Growth (W/OA)- International</t>
  </si>
  <si>
    <t>Participant Growth (WA)- International</t>
  </si>
  <si>
    <t>Growth Percent (W/OA)</t>
  </si>
  <si>
    <t>Participant Growth (W/OA)- US &amp; Russia)</t>
  </si>
  <si>
    <t>Growth Percent (WA)</t>
  </si>
  <si>
    <t xml:space="preserve">Rate of Inflation </t>
  </si>
  <si>
    <t>Flat Charge (Inflation adjusted)</t>
  </si>
  <si>
    <t>US &amp; Russia</t>
  </si>
  <si>
    <t>Iternational</t>
  </si>
  <si>
    <t>Cost of Servicing (US &amp; Russia)</t>
  </si>
  <si>
    <t>Cost of Servicing (International)</t>
  </si>
  <si>
    <t>Price for AII</t>
  </si>
  <si>
    <t>Growth Percent for AII</t>
  </si>
  <si>
    <t>Participants for AII (in millions)</t>
  </si>
  <si>
    <t>Cost of AII</t>
  </si>
  <si>
    <t>Cost of New Server</t>
  </si>
  <si>
    <t>G&amp;A Costs</t>
  </si>
  <si>
    <t>Growth Percent for G&amp;A Costs</t>
  </si>
  <si>
    <t>G&amp;A Cost 0f Alternium (in million $)</t>
  </si>
  <si>
    <t>Growth Percent for G&amp;A Costs (with Alternium)</t>
  </si>
  <si>
    <t>Increase in ad expenses</t>
  </si>
  <si>
    <t>Advertisement expenses</t>
  </si>
  <si>
    <t>Ad Expenses with Alternium</t>
  </si>
  <si>
    <t>Increase in ad expenses (with Alternium)</t>
  </si>
  <si>
    <t>Cost of Capital</t>
  </si>
  <si>
    <t>Debt with Interest</t>
  </si>
  <si>
    <t>Cost Savings (in million $)</t>
  </si>
  <si>
    <t>Increase in Cost Savings</t>
  </si>
  <si>
    <t>Accounts Recievable</t>
  </si>
  <si>
    <t>Inventory</t>
  </si>
  <si>
    <t>Accounts Payable</t>
  </si>
  <si>
    <t xml:space="preserve">Interest Bearing Debt </t>
  </si>
  <si>
    <t xml:space="preserve">Cost Savings </t>
  </si>
  <si>
    <t xml:space="preserve">Amount spent on advertising </t>
  </si>
  <si>
    <t xml:space="preserve">Cost of New Server </t>
  </si>
  <si>
    <t xml:space="preserve">Cost of G&amp;A </t>
  </si>
  <si>
    <t xml:space="preserve">Price of AII </t>
  </si>
  <si>
    <t xml:space="preserve">Cost of servicing </t>
  </si>
  <si>
    <t xml:space="preserve">Flat Charge </t>
  </si>
  <si>
    <t>Cash Outflow</t>
  </si>
  <si>
    <t>Year 0</t>
  </si>
  <si>
    <t>R&amp;D</t>
  </si>
  <si>
    <t>Cost of Servicing</t>
  </si>
  <si>
    <t>Cost of Servicing AII</t>
  </si>
  <si>
    <t>Ad Expense</t>
  </si>
  <si>
    <t xml:space="preserve">Accounts Payable </t>
  </si>
  <si>
    <t>Flat Charges With Alternium</t>
  </si>
  <si>
    <t>Flat Charges Without Alternium</t>
  </si>
  <si>
    <t>Interest on Debt</t>
  </si>
  <si>
    <t>Total Outflow</t>
  </si>
  <si>
    <t>Cash Inflow</t>
  </si>
  <si>
    <t>Flat Charges</t>
  </si>
  <si>
    <t>Flat Charges for AII</t>
  </si>
  <si>
    <t>Accounts Recievables</t>
  </si>
  <si>
    <t>Cost Savings</t>
  </si>
  <si>
    <t>Total Inflow</t>
  </si>
  <si>
    <t xml:space="preserve">Total Income </t>
  </si>
  <si>
    <t xml:space="preserve">Tax </t>
  </si>
  <si>
    <t>Tax Rate</t>
  </si>
  <si>
    <t>Flows</t>
  </si>
  <si>
    <t>Total Flow</t>
  </si>
  <si>
    <t>Year</t>
  </si>
  <si>
    <t>IRR</t>
  </si>
  <si>
    <t>(by using excel formula)</t>
  </si>
  <si>
    <t>(by using manual formula)</t>
  </si>
  <si>
    <t>Value of Assets</t>
  </si>
  <si>
    <t>Salvage Value</t>
  </si>
  <si>
    <t>Discounted Values</t>
  </si>
  <si>
    <t>Question 2</t>
  </si>
  <si>
    <t>Cash Flows</t>
  </si>
  <si>
    <t>Present Values</t>
  </si>
  <si>
    <t>NPV in perpetuity</t>
  </si>
  <si>
    <t>Average of Profits</t>
  </si>
  <si>
    <t>Question 3</t>
  </si>
  <si>
    <t>Question 1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</si>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</sst>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theme="0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u/>
      <sz val="2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39997558519241921"/>
        <bgColor indexed="65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4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</cellStyleXfs>
  <cellXfs count="64">
    <xf numFmtId="0" fontId="0" fillId="0" borderId="0" xfId="0"/>
    <xf numFmtId="9" fontId="0" fillId="0" borderId="0" xfId="0" applyNumberFormat="1"/>
    <xf numFmtId="2" fontId="0" fillId="0" borderId="0" xfId="0" applyNumberFormat="1"/>
    <xf numFmtId="10" fontId="0" fillId="0" borderId="0" xfId="0" applyNumberFormat="1"/>
    <xf numFmtId="0" fontId="2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1" fillId="3" borderId="1" xfId="2" applyBorder="1"/>
    <xf numFmtId="0" fontId="1" fillId="3" borderId="3" xfId="2" applyBorder="1"/>
    <xf numFmtId="0" fontId="1" fillId="3" borderId="4" xfId="2" applyBorder="1"/>
    <xf numFmtId="0" fontId="1" fillId="3" borderId="6" xfId="2" applyBorder="1"/>
    <xf numFmtId="0" fontId="1" fillId="5" borderId="3" xfId="4" applyBorder="1"/>
    <xf numFmtId="0" fontId="1" fillId="5" borderId="4" xfId="4" applyBorder="1"/>
    <xf numFmtId="0" fontId="1" fillId="5" borderId="6" xfId="4" applyBorder="1"/>
    <xf numFmtId="0" fontId="1" fillId="5" borderId="1" xfId="4" applyBorder="1"/>
    <xf numFmtId="0" fontId="1" fillId="5" borderId="2" xfId="4" applyBorder="1" applyAlignment="1">
      <alignment horizontal="center" vertical="center"/>
    </xf>
    <xf numFmtId="0" fontId="1" fillId="5" borderId="5" xfId="4" applyBorder="1"/>
    <xf numFmtId="0" fontId="5" fillId="6" borderId="0" xfId="5" applyFont="1" applyBorder="1" applyAlignment="1">
      <alignment horizontal="center" vertical="center"/>
    </xf>
    <xf numFmtId="0" fontId="0" fillId="0" borderId="0" xfId="0" applyBorder="1"/>
    <xf numFmtId="2" fontId="0" fillId="0" borderId="0" xfId="0" applyNumberFormat="1" applyBorder="1"/>
    <xf numFmtId="0" fontId="0" fillId="0" borderId="5" xfId="0" applyBorder="1"/>
    <xf numFmtId="0" fontId="6" fillId="0" borderId="0" xfId="0" applyFont="1"/>
    <xf numFmtId="2" fontId="2" fillId="0" borderId="9" xfId="0" applyNumberFormat="1" applyFont="1" applyBorder="1"/>
    <xf numFmtId="10" fontId="2" fillId="5" borderId="2" xfId="4" applyNumberFormat="1" applyFont="1" applyBorder="1"/>
    <xf numFmtId="10" fontId="2" fillId="5" borderId="5" xfId="4" applyNumberFormat="1" applyFont="1" applyBorder="1"/>
    <xf numFmtId="0" fontId="2" fillId="5" borderId="6" xfId="4" applyFont="1" applyBorder="1"/>
    <xf numFmtId="2" fontId="2" fillId="5" borderId="3" xfId="4" applyNumberFormat="1" applyFont="1" applyBorder="1"/>
    <xf numFmtId="2" fontId="2" fillId="5" borderId="6" xfId="4" applyNumberFormat="1" applyFont="1" applyBorder="1"/>
    <xf numFmtId="0" fontId="1" fillId="3" borderId="7" xfId="2" applyBorder="1"/>
    <xf numFmtId="2" fontId="1" fillId="3" borderId="0" xfId="2" applyNumberFormat="1" applyBorder="1"/>
    <xf numFmtId="2" fontId="1" fillId="3" borderId="8" xfId="2" applyNumberFormat="1" applyBorder="1"/>
    <xf numFmtId="0" fontId="7" fillId="2" borderId="0" xfId="1" applyFont="1"/>
    <xf numFmtId="0" fontId="1" fillId="3" borderId="0" xfId="2" applyBorder="1"/>
    <xf numFmtId="0" fontId="2" fillId="6" borderId="5" xfId="5" applyFont="1" applyBorder="1" applyAlignment="1">
      <alignment horizontal="center"/>
    </xf>
    <xf numFmtId="2" fontId="0" fillId="0" borderId="2" xfId="0" applyNumberFormat="1" applyBorder="1"/>
    <xf numFmtId="1" fontId="0" fillId="0" borderId="2" xfId="0" applyNumberFormat="1" applyBorder="1"/>
    <xf numFmtId="1" fontId="0" fillId="0" borderId="0" xfId="0" applyNumberFormat="1" applyBorder="1"/>
    <xf numFmtId="0" fontId="1" fillId="3" borderId="2" xfId="2" applyBorder="1"/>
    <xf numFmtId="0" fontId="1" fillId="3" borderId="8" xfId="2" applyBorder="1"/>
    <xf numFmtId="0" fontId="1" fillId="3" borderId="5" xfId="2" applyBorder="1"/>
    <xf numFmtId="9" fontId="1" fillId="5" borderId="7" xfId="4" applyNumberFormat="1" applyBorder="1"/>
    <xf numFmtId="9" fontId="1" fillId="5" borderId="8" xfId="4" applyNumberFormat="1" applyBorder="1"/>
    <xf numFmtId="10" fontId="1" fillId="5" borderId="8" xfId="4" applyNumberFormat="1" applyBorder="1"/>
    <xf numFmtId="9" fontId="1" fillId="5" borderId="7" xfId="4" applyNumberFormat="1" applyBorder="1" applyAlignment="1">
      <alignment wrapText="1"/>
    </xf>
    <xf numFmtId="9" fontId="1" fillId="5" borderId="4" xfId="4" applyNumberFormat="1" applyBorder="1"/>
    <xf numFmtId="10" fontId="1" fillId="5" borderId="6" xfId="4" applyNumberFormat="1" applyBorder="1"/>
    <xf numFmtId="2" fontId="1" fillId="3" borderId="5" xfId="2" applyNumberFormat="1" applyBorder="1"/>
    <xf numFmtId="2" fontId="1" fillId="3" borderId="6" xfId="2" applyNumberFormat="1" applyBorder="1"/>
    <xf numFmtId="0" fontId="2" fillId="4" borderId="11" xfId="3" applyFont="1" applyBorder="1" applyAlignment="1">
      <alignment horizontal="center" vertical="center"/>
    </xf>
    <xf numFmtId="0" fontId="2" fillId="4" borderId="12" xfId="3" applyFont="1" applyBorder="1" applyAlignment="1">
      <alignment horizontal="center" vertical="center"/>
    </xf>
    <xf numFmtId="0" fontId="2" fillId="4" borderId="12" xfId="3" applyFont="1" applyBorder="1" applyAlignment="1">
      <alignment horizontal="center" vertical="center" wrapText="1"/>
    </xf>
    <xf numFmtId="0" fontId="2" fillId="4" borderId="10" xfId="3" applyFont="1" applyBorder="1" applyAlignment="1">
      <alignment horizontal="center" vertical="center" wrapText="1"/>
    </xf>
    <xf numFmtId="9" fontId="1" fillId="5" borderId="3" xfId="4" applyNumberFormat="1" applyBorder="1"/>
    <xf numFmtId="0" fontId="1" fillId="5" borderId="7" xfId="4" applyBorder="1"/>
    <xf numFmtId="2" fontId="1" fillId="5" borderId="0" xfId="4" applyNumberFormat="1" applyBorder="1"/>
    <xf numFmtId="2" fontId="1" fillId="5" borderId="8" xfId="4" applyNumberFormat="1" applyBorder="1"/>
    <xf numFmtId="2" fontId="1" fillId="5" borderId="5" xfId="4" applyNumberFormat="1" applyBorder="1"/>
    <xf numFmtId="2" fontId="1" fillId="5" borderId="6" xfId="4" applyNumberFormat="1" applyBorder="1"/>
    <xf numFmtId="0" fontId="2" fillId="6" borderId="11" xfId="5" applyFont="1" applyBorder="1" applyAlignment="1">
      <alignment horizontal="center" vertical="center"/>
    </xf>
    <xf numFmtId="0" fontId="2" fillId="6" borderId="12" xfId="5" applyFont="1" applyBorder="1" applyAlignment="1">
      <alignment horizontal="center" vertical="center" wrapText="1"/>
    </xf>
    <xf numFmtId="0" fontId="2" fillId="6" borderId="12" xfId="5" applyFont="1" applyBorder="1" applyAlignment="1">
      <alignment horizontal="center" vertical="center"/>
    </xf>
    <xf numFmtId="0" fontId="2" fillId="6" borderId="10" xfId="5" applyFont="1" applyBorder="1" applyAlignment="1">
      <alignment horizontal="center" vertical="center" wrapText="1"/>
    </xf>
    <xf numFmtId="0" fontId="8" fillId="0" borderId="0" xfId="0" applyFont="1"/>
  </cellXfs>
  <cellStyles count="6">
    <cellStyle name="20% - Accent1" xfId="2" builtinId="30"/>
    <cellStyle name="20% - Accent5" xfId="4" builtinId="46"/>
    <cellStyle name="60% - Accent1" xfId="3" builtinId="32"/>
    <cellStyle name="60% - Accent5" xfId="5" builtinId="48"/>
    <cellStyle name="Accent1" xfId="1" builtinId="29"/>
    <cellStyle name="Normal" xfId="0" builtinId="0"/>
  </cellStyles>
  <dxfs count="31"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numFmt numFmtId="2" formatCode="0.00"/>
    </dxf>
    <dxf>
      <numFmt numFmtId="2" formatCode="0.00"/>
    </dxf>
    <dxf>
      <numFmt numFmtId="1" formatCode="0"/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/>
        <vertAlign val="baseline"/>
        <sz val="12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numFmt numFmtId="2" formatCode="0.00"/>
    </dxf>
    <dxf>
      <numFmt numFmtId="2" formatCode="0.00"/>
    </dxf>
    <dxf>
      <numFmt numFmtId="2" formatCode="0.00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numFmt numFmtId="2" formatCode="0.00"/>
    </dxf>
    <dxf>
      <numFmt numFmtId="2" formatCode="0.00"/>
    </dxf>
    <dxf>
      <numFmt numFmtId="2" formatCode="0.0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BE2FD1AE-05FF-F544-974E-FD09DB3D3531}" name="Table5" displayName="Table5" ref="A5:M16" totalsRowShown="0" headerRowDxfId="21">
  <autoFilter ref="A5:M16" xr:uid="{BE2FD1AE-05FF-F544-974E-FD09DB3D3531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</autoFilter>
  <tableColumns count="13">
    <tableColumn id="1" xr3:uid="{1A77D7A7-E945-7540-821B-95FB0500D981}" name="Year"/>
    <tableColumn id="2" xr3:uid="{2E7FB226-B226-C84F-9616-79012E5A2A92}" name="R&amp;D" dataDxfId="30"/>
    <tableColumn id="3" xr3:uid="{47AEBD03-C9BD-B64A-85DA-2EFF48BF2DAC}" name="Infrastructure"/>
    <tableColumn id="4" xr3:uid="{1A21C26E-FE52-A345-9491-D055893ADF11}" name="Depreciation">
      <calculatedColumnFormula>'Data Dump'!B21</calculatedColumnFormula>
    </tableColumn>
    <tableColumn id="5" xr3:uid="{617F0C7A-908F-2A43-B122-4A844FB87118}" name="Cost of Servicing" dataDxfId="29">
      <calculatedColumnFormula>('Data Dump'!C21*'Data Dump'!H21) + ('Data Dump'!D21*'Data Dump'!I21)</calculatedColumnFormula>
    </tableColumn>
    <tableColumn id="6" xr3:uid="{B7B7EB95-FF4A-EE4E-82FE-C477C84B5174}" name="Cost of Servicing AII" dataDxfId="28">
      <calculatedColumnFormula>('Data Dump'!K21*'Data Dump'!L21)</calculatedColumnFormula>
    </tableColumn>
    <tableColumn id="7" xr3:uid="{97A0D386-4774-FF41-BBBC-8A8AFB43B41E}" name="Cost of New Server"/>
    <tableColumn id="8" xr3:uid="{FE510888-CA05-404C-945A-5FDA43BB2DFF}" name="G&amp;A Costs" dataDxfId="27">
      <calculatedColumnFormula>'Data Dump'!N21+'Data Dump'!O21</calculatedColumnFormula>
    </tableColumn>
    <tableColumn id="9" xr3:uid="{BA82AADB-D6C2-C040-B8F6-F4CA2D4A6D5B}" name="Ad Expense" dataDxfId="26">
      <calculatedColumnFormula>'Data Dump'!Q21</calculatedColumnFormula>
    </tableColumn>
    <tableColumn id="10" xr3:uid="{9683817E-4F6A-F548-9FAF-A9428873BCC9}" name="Inventory" dataDxfId="25">
      <calculatedColumnFormula>'Data Dump'!F38</calculatedColumnFormula>
    </tableColumn>
    <tableColumn id="11" xr3:uid="{A8C6DDF7-A7BB-2A44-90E1-A09594BDAC35}" name="Accounts Payable " dataDxfId="24">
      <calculatedColumnFormula>'Data Dump'!G38</calculatedColumnFormula>
    </tableColumn>
    <tableColumn id="12" xr3:uid="{83580336-A84D-5741-ACD8-430ADECCC53C}" name="Interest on Debt" dataDxfId="23">
      <calculatedColumnFormula>'Data Dump'!T21</calculatedColumnFormula>
    </tableColumn>
    <tableColumn id="13" xr3:uid="{5119B7AD-8D90-2140-847F-F0A134C025A8}" name="Total Outflow" dataDxfId="22">
      <calculatedColumnFormula>SUM(D6:L6)</calculatedColumnFormula>
    </tableColumn>
  </tableColumns>
  <tableStyleInfo name="TableStyleDark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F227F215-D7A0-B842-B416-2D8F4AA8154D}" name="Table6" displayName="Table6" ref="A20:F31" totalsRowShown="0" headerRowDxfId="15">
  <autoFilter ref="A20:F31" xr:uid="{F227F215-D7A0-B842-B416-2D8F4AA8154D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xr3:uid="{7DC966B3-37F1-8745-8BDC-4E7D54392682}" name="Year"/>
    <tableColumn id="2" xr3:uid="{8743083E-55AE-9E40-9A8D-C6B363471842}" name="Flat Charges" dataDxfId="20">
      <calculatedColumnFormula>('Data Dump'!C21*'Data Dump'!G21) + ('Data Dump'!D21*'Data Dump'!G21)</calculatedColumnFormula>
    </tableColumn>
    <tableColumn id="3" xr3:uid="{4ADF27D0-9C29-444F-93C4-84964D5CE218}" name="Flat Charges for AII" dataDxfId="19">
      <calculatedColumnFormula>'Data Dump'!K21*'Data Dump'!J21</calculatedColumnFormula>
    </tableColumn>
    <tableColumn id="4" xr3:uid="{1C47D0D7-0B9C-BD49-92F9-0B2FCD4BD8AE}" name="Accounts Recievables" dataDxfId="18">
      <calculatedColumnFormula>'Data Dump'!E38</calculatedColumnFormula>
    </tableColumn>
    <tableColumn id="5" xr3:uid="{C9D115D3-5770-3246-B422-6C066B8B7EF1}" name="Cost Savings" dataDxfId="17">
      <calculatedColumnFormula>'Data Dump'!S21</calculatedColumnFormula>
    </tableColumn>
    <tableColumn id="6" xr3:uid="{EE54DAF0-8202-704D-81BE-2C064706F6D5}" name="Total Inflow" dataDxfId="16">
      <calculatedColumnFormula>SUM(B21:E21)</calculatedColumnFormula>
    </tableColumn>
  </tableColumns>
  <tableStyleInfo name="TableStyleDark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5D12C9A-AB59-AE4B-8E19-768CD497B193}" name="Table7" displayName="Table7" ref="A34:D44" totalsRowShown="0" headerRowDxfId="11">
  <autoFilter ref="A34:D44" xr:uid="{05D12C9A-AB59-AE4B-8E19-768CD497B193}">
    <filterColumn colId="0" hiddenButton="1"/>
    <filterColumn colId="1" hiddenButton="1"/>
    <filterColumn colId="2" hiddenButton="1"/>
    <filterColumn colId="3" hiddenButton="1"/>
  </autoFilter>
  <tableColumns count="4">
    <tableColumn id="1" xr3:uid="{30763DED-D5DA-2545-844D-0FAB0A36DA52}" name="Year"/>
    <tableColumn id="2" xr3:uid="{3A19BA06-BE9A-CA40-8F8F-A10EE473CCEF}" name="Total Income " dataDxfId="14">
      <calculatedColumnFormula>F22-M7</calculatedColumnFormula>
    </tableColumn>
    <tableColumn id="3" xr3:uid="{25702439-8E7D-0742-8678-FE05CE98E80F}" name="Tax " dataDxfId="13">
      <calculatedColumnFormula>F22*'Data Dump'!$F$19</calculatedColumnFormula>
    </tableColumn>
    <tableColumn id="4" xr3:uid="{90A9E5E0-29B9-424B-A204-CCAF49A878C2}" name="Total Flow" dataDxfId="12">
      <calculatedColumnFormula>B35-C35</calculatedColumnFormula>
    </tableColumn>
  </tableColumns>
  <tableStyleInfo name="TableStyleDark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BC36BE2B-76CD-C846-8BE4-F378588197D9}" name="Table8" displayName="Table8" ref="A3:D15" totalsRowShown="0" headerRowDxfId="6" tableBorderDxfId="10" headerRowCellStyle="60% - Accent5">
  <autoFilter ref="A3:D15" xr:uid="{BC36BE2B-76CD-C846-8BE4-F378588197D9}">
    <filterColumn colId="0" hiddenButton="1"/>
    <filterColumn colId="1" hiddenButton="1"/>
    <filterColumn colId="2" hiddenButton="1"/>
    <filterColumn colId="3" hiddenButton="1"/>
  </autoFilter>
  <tableColumns count="4">
    <tableColumn id="1" xr3:uid="{0576DFEB-AB1A-FC49-BA75-EBA620F5CA2D}" name="Year"/>
    <tableColumn id="2" xr3:uid="{26098D94-7C21-4D4F-AEFD-C7ADC6CB00F2}" name="Flows" dataDxfId="9"/>
    <tableColumn id="3" xr3:uid="{781A8331-EA1A-F946-95D5-45075172FEB8}" name="Present Values" dataDxfId="8"/>
    <tableColumn id="4" xr3:uid="{B859FC76-0829-AE46-AC43-BF2597790438}" name="Discounted Values" dataDxfId="7"/>
  </tableColumns>
  <tableStyleInfo name="TableStyleDark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F91E76D0-6C89-7B49-BCF3-2F237A561098}" name="Table10" displayName="Table10" ref="A3:C14" totalsRowShown="0" headerRowDxfId="0" headerRowBorderDxfId="4" tableBorderDxfId="5" headerRowCellStyle="60% - Accent5">
  <autoFilter ref="A3:C14" xr:uid="{F91E76D0-6C89-7B49-BCF3-2F237A561098}">
    <filterColumn colId="0" hiddenButton="1"/>
    <filterColumn colId="1" hiddenButton="1"/>
    <filterColumn colId="2" hiddenButton="1"/>
  </autoFilter>
  <tableColumns count="3">
    <tableColumn id="1" xr3:uid="{B800F9F6-5CCC-A742-9D17-276D16500D91}" name="Year" dataDxfId="3"/>
    <tableColumn id="2" xr3:uid="{0ED81EDE-1D85-8A4F-8986-DBC1C63DA1F0}" name="Cash Flows" dataDxfId="2">
      <calculatedColumnFormula>'Question 1'!D34</calculatedColumnFormula>
    </tableColumn>
    <tableColumn id="3" xr3:uid="{C1D36C2E-CF0C-8F4C-8D45-52B493E8E44A}" name="Present Values" dataDxfId="1">
      <calculatedColumnFormula>'Question 2'!C4</calculatedColumnFormula>
    </tableColumn>
  </tableColumns>
  <tableStyleInfo name="TableStyleDark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35AF4E-90BA-1540-ABDB-F034289AE519}">
  <dimension ref="A1:T48"/>
  <sheetViews>
    <sheetView topLeftCell="A9" workbookViewId="0">
      <selection activeCell="G3" sqref="G3:I3"/>
    </sheetView>
  </sheetViews>
  <sheetFormatPr baseColWidth="10" defaultRowHeight="16" x14ac:dyDescent="0.2"/>
  <cols>
    <col min="2" max="2" width="36.33203125" bestFit="1" customWidth="1"/>
    <col min="3" max="3" width="21.83203125" bestFit="1" customWidth="1"/>
    <col min="4" max="4" width="22.5" bestFit="1" customWidth="1"/>
    <col min="5" max="5" width="26.33203125" bestFit="1" customWidth="1"/>
    <col min="6" max="6" width="21.1640625" bestFit="1" customWidth="1"/>
    <col min="8" max="8" width="11.83203125" customWidth="1"/>
    <col min="9" max="9" width="13.33203125" customWidth="1"/>
  </cols>
  <sheetData>
    <row r="1" spans="1:6" ht="29" x14ac:dyDescent="0.35">
      <c r="A1" s="63" t="s">
        <v>93</v>
      </c>
    </row>
    <row r="3" spans="1:6" x14ac:dyDescent="0.2">
      <c r="A3" s="8">
        <v>1</v>
      </c>
      <c r="B3" s="38" t="s">
        <v>0</v>
      </c>
      <c r="C3" s="9">
        <v>150</v>
      </c>
    </row>
    <row r="4" spans="1:6" x14ac:dyDescent="0.2">
      <c r="A4" s="29">
        <v>2</v>
      </c>
      <c r="B4" s="33" t="s">
        <v>11</v>
      </c>
      <c r="C4" s="39">
        <v>1000</v>
      </c>
    </row>
    <row r="5" spans="1:6" x14ac:dyDescent="0.2">
      <c r="A5" s="29"/>
      <c r="B5" s="33" t="s">
        <v>13</v>
      </c>
      <c r="C5" s="39">
        <v>200</v>
      </c>
    </row>
    <row r="6" spans="1:6" x14ac:dyDescent="0.2">
      <c r="A6" s="29"/>
      <c r="B6" s="33" t="s">
        <v>12</v>
      </c>
      <c r="C6" s="39">
        <v>800</v>
      </c>
    </row>
    <row r="7" spans="1:6" x14ac:dyDescent="0.2">
      <c r="A7" s="29">
        <v>3</v>
      </c>
      <c r="B7" s="33" t="s">
        <v>16</v>
      </c>
      <c r="C7" s="39"/>
      <c r="E7" s="15" t="s">
        <v>22</v>
      </c>
      <c r="F7" s="12" t="s">
        <v>20</v>
      </c>
    </row>
    <row r="8" spans="1:6" x14ac:dyDescent="0.2">
      <c r="A8" s="29"/>
      <c r="B8" s="33" t="s">
        <v>14</v>
      </c>
      <c r="C8" s="39">
        <v>45</v>
      </c>
      <c r="E8" s="41">
        <v>0.05</v>
      </c>
      <c r="F8" s="42">
        <v>0.05</v>
      </c>
    </row>
    <row r="9" spans="1:6" x14ac:dyDescent="0.2">
      <c r="A9" s="29"/>
      <c r="B9" s="33" t="s">
        <v>15</v>
      </c>
      <c r="C9" s="39">
        <v>30</v>
      </c>
      <c r="E9" s="41">
        <v>0.1</v>
      </c>
      <c r="F9" s="42">
        <v>0.08</v>
      </c>
    </row>
    <row r="10" spans="1:6" x14ac:dyDescent="0.2">
      <c r="A10" s="29">
        <v>4</v>
      </c>
      <c r="B10" s="33" t="s">
        <v>56</v>
      </c>
      <c r="C10" s="39">
        <v>100</v>
      </c>
      <c r="E10" s="41" t="s">
        <v>23</v>
      </c>
      <c r="F10" s="43">
        <v>1.4999999999999999E-2</v>
      </c>
    </row>
    <row r="11" spans="1:6" x14ac:dyDescent="0.2">
      <c r="A11" s="29">
        <v>5</v>
      </c>
      <c r="B11" s="33" t="s">
        <v>55</v>
      </c>
      <c r="C11" s="39"/>
      <c r="E11" s="41" t="s">
        <v>30</v>
      </c>
      <c r="F11" s="43">
        <v>0.08</v>
      </c>
    </row>
    <row r="12" spans="1:6" x14ac:dyDescent="0.2">
      <c r="A12" s="29"/>
      <c r="B12" s="33" t="s">
        <v>25</v>
      </c>
      <c r="C12" s="39">
        <v>36</v>
      </c>
      <c r="E12" s="41" t="s">
        <v>32</v>
      </c>
      <c r="F12" s="43">
        <v>0.6</v>
      </c>
    </row>
    <row r="13" spans="1:6" x14ac:dyDescent="0.2">
      <c r="A13" s="29"/>
      <c r="B13" s="33" t="s">
        <v>26</v>
      </c>
      <c r="C13" s="39">
        <v>45</v>
      </c>
      <c r="E13" s="41" t="s">
        <v>35</v>
      </c>
      <c r="F13" s="43">
        <v>0.05</v>
      </c>
    </row>
    <row r="14" spans="1:6" ht="51" x14ac:dyDescent="0.2">
      <c r="A14" s="29">
        <v>6</v>
      </c>
      <c r="B14" s="33" t="s">
        <v>54</v>
      </c>
      <c r="C14" s="39">
        <v>50</v>
      </c>
      <c r="E14" s="44" t="s">
        <v>37</v>
      </c>
      <c r="F14" s="43">
        <v>0.1</v>
      </c>
    </row>
    <row r="15" spans="1:6" x14ac:dyDescent="0.2">
      <c r="A15" s="29">
        <v>7</v>
      </c>
      <c r="B15" s="33" t="s">
        <v>52</v>
      </c>
      <c r="C15" s="39">
        <v>600</v>
      </c>
      <c r="E15" s="41" t="s">
        <v>38</v>
      </c>
      <c r="F15" s="43">
        <v>0.05</v>
      </c>
    </row>
    <row r="16" spans="1:6" ht="34" x14ac:dyDescent="0.2">
      <c r="A16" s="29">
        <v>8</v>
      </c>
      <c r="B16" s="33" t="s">
        <v>53</v>
      </c>
      <c r="C16" s="39">
        <v>400</v>
      </c>
      <c r="E16" s="44" t="s">
        <v>41</v>
      </c>
      <c r="F16" s="43">
        <v>0.15</v>
      </c>
    </row>
    <row r="17" spans="1:20" x14ac:dyDescent="0.2">
      <c r="A17" s="29">
        <v>9</v>
      </c>
      <c r="B17" s="33" t="s">
        <v>51</v>
      </c>
      <c r="C17" s="39">
        <v>500</v>
      </c>
      <c r="E17" s="41" t="s">
        <v>42</v>
      </c>
      <c r="F17" s="43">
        <v>0.11</v>
      </c>
    </row>
    <row r="18" spans="1:20" x14ac:dyDescent="0.2">
      <c r="A18" s="29">
        <v>10</v>
      </c>
      <c r="B18" s="33" t="s">
        <v>49</v>
      </c>
      <c r="C18" s="39">
        <v>2432</v>
      </c>
      <c r="E18" s="41" t="s">
        <v>45</v>
      </c>
      <c r="F18" s="43">
        <v>0.03</v>
      </c>
    </row>
    <row r="19" spans="1:20" x14ac:dyDescent="0.2">
      <c r="A19" s="10">
        <v>11</v>
      </c>
      <c r="B19" s="40" t="s">
        <v>50</v>
      </c>
      <c r="C19" s="11">
        <v>30</v>
      </c>
      <c r="E19" s="45" t="s">
        <v>76</v>
      </c>
      <c r="F19" s="46">
        <v>0.1</v>
      </c>
    </row>
    <row r="20" spans="1:20" x14ac:dyDescent="0.2">
      <c r="D20" s="1"/>
      <c r="E20" s="3"/>
    </row>
    <row r="21" spans="1:20" ht="64" customHeight="1" x14ac:dyDescent="0.2">
      <c r="A21" s="49" t="s">
        <v>79</v>
      </c>
      <c r="B21" s="50" t="s">
        <v>12</v>
      </c>
      <c r="C21" s="51" t="s">
        <v>17</v>
      </c>
      <c r="D21" s="51" t="s">
        <v>19</v>
      </c>
      <c r="E21" s="51" t="s">
        <v>21</v>
      </c>
      <c r="F21" s="51" t="s">
        <v>18</v>
      </c>
      <c r="G21" s="51" t="s">
        <v>24</v>
      </c>
      <c r="H21" s="51" t="s">
        <v>27</v>
      </c>
      <c r="I21" s="51" t="s">
        <v>28</v>
      </c>
      <c r="J21" s="51" t="s">
        <v>29</v>
      </c>
      <c r="K21" s="51" t="s">
        <v>31</v>
      </c>
      <c r="L21" s="51" t="s">
        <v>32</v>
      </c>
      <c r="M21" s="51" t="s">
        <v>33</v>
      </c>
      <c r="N21" s="51" t="s">
        <v>34</v>
      </c>
      <c r="O21" s="51" t="s">
        <v>36</v>
      </c>
      <c r="P21" s="51" t="s">
        <v>39</v>
      </c>
      <c r="Q21" s="51" t="s">
        <v>40</v>
      </c>
      <c r="R21" s="51" t="s">
        <v>43</v>
      </c>
      <c r="S21" s="51" t="s">
        <v>44</v>
      </c>
      <c r="T21" s="52" t="s">
        <v>66</v>
      </c>
    </row>
    <row r="22" spans="1:20" x14ac:dyDescent="0.2">
      <c r="A22" s="29" t="s">
        <v>1</v>
      </c>
      <c r="B22" s="33">
        <f>($C$4-$C$5)/10</f>
        <v>80</v>
      </c>
      <c r="C22" s="33">
        <f>C8+(5%*C8)</f>
        <v>47.25</v>
      </c>
      <c r="D22" s="33">
        <f>C9+(E9*C9)</f>
        <v>33</v>
      </c>
      <c r="E22" s="33">
        <f>C8+(F8*C8)</f>
        <v>47.25</v>
      </c>
      <c r="F22" s="33">
        <f>C9+(F9*C9)</f>
        <v>32.4</v>
      </c>
      <c r="G22" s="30">
        <f>C10+(F10*C10)</f>
        <v>101.5</v>
      </c>
      <c r="H22" s="33">
        <f>C12+(F10*C12)</f>
        <v>36.54</v>
      </c>
      <c r="I22" s="30">
        <f>C13+(F10*C13)</f>
        <v>45.674999999999997</v>
      </c>
      <c r="J22" s="30">
        <f>C14+(F10*C14)</f>
        <v>50.75</v>
      </c>
      <c r="K22" s="30">
        <v>5</v>
      </c>
      <c r="L22" s="30">
        <f>I22*$F$12</f>
        <v>27.404999999999998</v>
      </c>
      <c r="M22" s="30">
        <f>C15+(F10*C15)</f>
        <v>609</v>
      </c>
      <c r="N22" s="30">
        <f>C16+(F13*C16)</f>
        <v>420</v>
      </c>
      <c r="O22" s="30">
        <v>40</v>
      </c>
      <c r="P22" s="30">
        <f>C17+(F15*C17)</f>
        <v>525</v>
      </c>
      <c r="Q22" s="30">
        <f>P22+($F$16*P22)</f>
        <v>603.75</v>
      </c>
      <c r="R22" s="33">
        <f>C18+(F17*C18)</f>
        <v>2699.52</v>
      </c>
      <c r="S22" s="30">
        <v>30</v>
      </c>
      <c r="T22" s="39">
        <f>R22-C18</f>
        <v>267.52</v>
      </c>
    </row>
    <row r="23" spans="1:20" x14ac:dyDescent="0.2">
      <c r="A23" s="29" t="s">
        <v>2</v>
      </c>
      <c r="B23" s="33">
        <f t="shared" ref="B23:B31" si="0">($C$4-$C$5)/10</f>
        <v>80</v>
      </c>
      <c r="C23" s="30">
        <f>C22+($E$8*C22)</f>
        <v>49.612499999999997</v>
      </c>
      <c r="D23" s="30">
        <f>D22+($E$9*D22)</f>
        <v>36.299999999999997</v>
      </c>
      <c r="E23" s="30">
        <f>E22+($F$8*E22)</f>
        <v>49.612499999999997</v>
      </c>
      <c r="F23" s="30">
        <f>F22+($F$9*F22)</f>
        <v>34.991999999999997</v>
      </c>
      <c r="G23" s="30">
        <f>G22+($F$10*G22)</f>
        <v>103.02249999999999</v>
      </c>
      <c r="H23" s="30">
        <f>H22+($F$10*H22)</f>
        <v>37.088099999999997</v>
      </c>
      <c r="I23" s="30">
        <f>I22+($F$10*I22)</f>
        <v>46.360124999999996</v>
      </c>
      <c r="J23" s="30">
        <f>J22+($F$10*J22)</f>
        <v>51.511249999999997</v>
      </c>
      <c r="K23" s="30">
        <f>K22+($F$11*K22)</f>
        <v>5.4</v>
      </c>
      <c r="L23" s="30">
        <f>I23*$F$12</f>
        <v>27.816074999999998</v>
      </c>
      <c r="M23" s="30">
        <f>M22+($F$10*M22)</f>
        <v>618.13499999999999</v>
      </c>
      <c r="N23" s="30">
        <f>N22+($F$13*N22)</f>
        <v>441</v>
      </c>
      <c r="O23" s="30">
        <f>O22+($F$14*O22)</f>
        <v>44</v>
      </c>
      <c r="P23" s="30">
        <f>P22+($F$15*P22)</f>
        <v>551.25</v>
      </c>
      <c r="Q23" s="30">
        <f>P23+($F$16*P23)</f>
        <v>633.9375</v>
      </c>
      <c r="R23" s="30">
        <f>R22+($F$17*R22)</f>
        <v>2996.4672</v>
      </c>
      <c r="S23" s="30">
        <f>S22+($F$18*S22)</f>
        <v>30.9</v>
      </c>
      <c r="T23" s="31">
        <f>R23-R22</f>
        <v>296.94720000000007</v>
      </c>
    </row>
    <row r="24" spans="1:20" x14ac:dyDescent="0.2">
      <c r="A24" s="29" t="s">
        <v>3</v>
      </c>
      <c r="B24" s="33">
        <f t="shared" si="0"/>
        <v>80</v>
      </c>
      <c r="C24" s="30">
        <f>C23+($E$8*C23)</f>
        <v>52.093125000000001</v>
      </c>
      <c r="D24" s="30">
        <f>D23+($E$9*D23)</f>
        <v>39.93</v>
      </c>
      <c r="E24" s="30">
        <f>E23+($F$8*E23)</f>
        <v>52.093125000000001</v>
      </c>
      <c r="F24" s="30">
        <f>F23+($F$9*F23)</f>
        <v>37.791359999999997</v>
      </c>
      <c r="G24" s="30">
        <f>G23+($F$10*G23)</f>
        <v>104.5678375</v>
      </c>
      <c r="H24" s="30">
        <f>H23+($F$10*H23)</f>
        <v>37.6444215</v>
      </c>
      <c r="I24" s="30">
        <f>I23+($F$10*I23)</f>
        <v>47.055526874999998</v>
      </c>
      <c r="J24" s="30">
        <f>J23+($F$10*J23)</f>
        <v>52.283918749999998</v>
      </c>
      <c r="K24" s="30">
        <f>K23+($F$11*K23)</f>
        <v>5.8320000000000007</v>
      </c>
      <c r="L24" s="30">
        <f>I24*$F$12</f>
        <v>28.233316124999998</v>
      </c>
      <c r="M24" s="30">
        <f>M23+($F$10*M23)</f>
        <v>627.40702499999998</v>
      </c>
      <c r="N24" s="30">
        <f>N23+($F$13*N23)</f>
        <v>463.05</v>
      </c>
      <c r="O24" s="30">
        <f>O23+($F$14*O23)</f>
        <v>48.4</v>
      </c>
      <c r="P24" s="30">
        <f>P23+($F$15*P23)</f>
        <v>578.8125</v>
      </c>
      <c r="Q24" s="30">
        <f>P24+($F$16*P24)</f>
        <v>665.63437499999998</v>
      </c>
      <c r="R24" s="30">
        <f>R23+($F$17*R23)</f>
        <v>3326.0785919999998</v>
      </c>
      <c r="S24" s="30">
        <f>S23+($F$18*S23)</f>
        <v>31.826999999999998</v>
      </c>
      <c r="T24" s="31">
        <f t="shared" ref="T24:T31" si="1">R24-R23</f>
        <v>329.6113919999998</v>
      </c>
    </row>
    <row r="25" spans="1:20" x14ac:dyDescent="0.2">
      <c r="A25" s="29" t="s">
        <v>4</v>
      </c>
      <c r="B25" s="33">
        <f t="shared" si="0"/>
        <v>80</v>
      </c>
      <c r="C25" s="30">
        <f>C24+($E$8*C24)</f>
        <v>54.697781249999998</v>
      </c>
      <c r="D25" s="30">
        <f>D24+($E$9*D24)</f>
        <v>43.923000000000002</v>
      </c>
      <c r="E25" s="30">
        <f>E24+($F$8*E24)</f>
        <v>54.697781249999998</v>
      </c>
      <c r="F25" s="30">
        <f>F24+($F$9*F24)</f>
        <v>40.8146688</v>
      </c>
      <c r="G25" s="30">
        <f>G24+($F$10*G24)</f>
        <v>106.1363550625</v>
      </c>
      <c r="H25" s="30">
        <f>H24+($F$10*H24)</f>
        <v>38.209087822500003</v>
      </c>
      <c r="I25" s="30">
        <f>I24+($F$10*I24)</f>
        <v>47.761359778124998</v>
      </c>
      <c r="J25" s="30">
        <f>J24+($F$10*J24)</f>
        <v>53.068177531250001</v>
      </c>
      <c r="K25" s="30">
        <f>K24+($F$11*K24)</f>
        <v>6.298560000000001</v>
      </c>
      <c r="L25" s="30">
        <f>I25*$F$12</f>
        <v>28.656815866874997</v>
      </c>
      <c r="M25" s="30">
        <f>M24+($F$10*M24)</f>
        <v>636.81813037500001</v>
      </c>
      <c r="N25" s="30">
        <f>N24+($F$13*N24)</f>
        <v>486.20249999999999</v>
      </c>
      <c r="O25" s="30">
        <f>O24+($F$14*O24)</f>
        <v>53.239999999999995</v>
      </c>
      <c r="P25" s="30">
        <f>P24+($F$15*P24)</f>
        <v>607.75312499999995</v>
      </c>
      <c r="Q25" s="30">
        <f>P25+($F$16*P25)</f>
        <v>698.91609374999996</v>
      </c>
      <c r="R25" s="30">
        <f>R24+($F$17*R24)</f>
        <v>3691.94723712</v>
      </c>
      <c r="S25" s="30">
        <f>S24+($F$18*S24)</f>
        <v>32.78181</v>
      </c>
      <c r="T25" s="31">
        <f t="shared" si="1"/>
        <v>365.86864512000011</v>
      </c>
    </row>
    <row r="26" spans="1:20" x14ac:dyDescent="0.2">
      <c r="A26" s="29" t="s">
        <v>5</v>
      </c>
      <c r="B26" s="33">
        <f t="shared" si="0"/>
        <v>80</v>
      </c>
      <c r="C26" s="30">
        <f>C25+($E$8*C25)</f>
        <v>57.432670312500001</v>
      </c>
      <c r="D26" s="30">
        <f>D25+($E$9*D25)</f>
        <v>48.315300000000001</v>
      </c>
      <c r="E26" s="30">
        <f>E25+($F$8*E25)</f>
        <v>57.432670312500001</v>
      </c>
      <c r="F26" s="30">
        <f>F25+($F$9*F25)</f>
        <v>44.079842303999996</v>
      </c>
      <c r="G26" s="30">
        <f>G25+($F$10*G25)</f>
        <v>107.72840038843751</v>
      </c>
      <c r="H26" s="30">
        <f>H25+($F$10*H25)</f>
        <v>38.782224139837503</v>
      </c>
      <c r="I26" s="30">
        <f>I25+($F$10*I25)</f>
        <v>48.47778017479687</v>
      </c>
      <c r="J26" s="30">
        <f>J25+($F$10*J25)</f>
        <v>53.864200194218753</v>
      </c>
      <c r="K26" s="30">
        <f>K25+($F$11*K25)</f>
        <v>6.8024448000000008</v>
      </c>
      <c r="L26" s="30">
        <f>I26*$F$12</f>
        <v>29.086668104878122</v>
      </c>
      <c r="M26" s="30">
        <f>M25+($F$10*M25)</f>
        <v>646.37040233062498</v>
      </c>
      <c r="N26" s="30">
        <f>N25+($F$13*N25)</f>
        <v>510.51262499999996</v>
      </c>
      <c r="O26" s="30">
        <f>O25+($F$14*O25)</f>
        <v>58.563999999999993</v>
      </c>
      <c r="P26" s="30">
        <f>P25+($F$15*P25)</f>
        <v>638.14078124999992</v>
      </c>
      <c r="Q26" s="30">
        <f>P26+($F$16*P26)</f>
        <v>733.86189843749992</v>
      </c>
      <c r="R26" s="30">
        <f>R25+($F$17*R25)</f>
        <v>4098.0614332032001</v>
      </c>
      <c r="S26" s="30">
        <f>S25+($F$18*S25)</f>
        <v>33.765264299999998</v>
      </c>
      <c r="T26" s="31">
        <f t="shared" si="1"/>
        <v>406.11419608320011</v>
      </c>
    </row>
    <row r="27" spans="1:20" x14ac:dyDescent="0.2">
      <c r="A27" s="29" t="s">
        <v>6</v>
      </c>
      <c r="B27" s="33">
        <f t="shared" si="0"/>
        <v>80</v>
      </c>
      <c r="C27" s="30">
        <f>C26+($E$8*C26)</f>
        <v>60.304303828125001</v>
      </c>
      <c r="D27" s="30">
        <f>D26+($E$9*D26)</f>
        <v>53.146830000000001</v>
      </c>
      <c r="E27" s="30">
        <f>E26+($F$8*E26)</f>
        <v>60.304303828125001</v>
      </c>
      <c r="F27" s="30">
        <f>F26+($F$9*F26)</f>
        <v>47.606229688319999</v>
      </c>
      <c r="G27" s="30">
        <f>G26+($F$10*G26)</f>
        <v>109.34432639426407</v>
      </c>
      <c r="H27" s="30">
        <f>H26+($F$10*H26)</f>
        <v>39.363957501935069</v>
      </c>
      <c r="I27" s="30">
        <f>I26+($F$10*I26)</f>
        <v>49.20494687741882</v>
      </c>
      <c r="J27" s="30">
        <f>J26+($F$10*J26)</f>
        <v>54.672163197132036</v>
      </c>
      <c r="K27" s="30">
        <f>K26+($F$11*K26)</f>
        <v>7.3466403840000005</v>
      </c>
      <c r="L27" s="30">
        <f>I27*$F$12</f>
        <v>29.522968126451289</v>
      </c>
      <c r="M27" s="30">
        <f>M26+($F$10*M26)</f>
        <v>656.06595836558438</v>
      </c>
      <c r="N27" s="30">
        <f>N26+($F$13*N26)</f>
        <v>536.0382562499999</v>
      </c>
      <c r="O27" s="30">
        <f>O26+($F$14*O26)</f>
        <v>64.420399999999987</v>
      </c>
      <c r="P27" s="30">
        <f>P26+($F$15*P26)</f>
        <v>670.04782031249988</v>
      </c>
      <c r="Q27" s="30">
        <f>P27+($F$16*P27)</f>
        <v>770.55499335937486</v>
      </c>
      <c r="R27" s="30">
        <f>R26+($F$17*R26)</f>
        <v>4548.8481908555523</v>
      </c>
      <c r="S27" s="30">
        <f>S26+($F$18*S26)</f>
        <v>34.778222229000001</v>
      </c>
      <c r="T27" s="31">
        <f t="shared" si="1"/>
        <v>450.78675765235221</v>
      </c>
    </row>
    <row r="28" spans="1:20" x14ac:dyDescent="0.2">
      <c r="A28" s="29" t="s">
        <v>7</v>
      </c>
      <c r="B28" s="33">
        <f t="shared" si="0"/>
        <v>80</v>
      </c>
      <c r="C28" s="30">
        <f>C27+($E$8*C27)</f>
        <v>63.319519019531249</v>
      </c>
      <c r="D28" s="30">
        <f>D27+($E$9*D27)</f>
        <v>58.461513000000004</v>
      </c>
      <c r="E28" s="30">
        <f>E27+($F$8*E27)</f>
        <v>63.319519019531249</v>
      </c>
      <c r="F28" s="30">
        <f>F27+($F$9*F27)</f>
        <v>51.414728063385596</v>
      </c>
      <c r="G28" s="30">
        <f>G27+($F$10*G27)</f>
        <v>110.98449129017803</v>
      </c>
      <c r="H28" s="30">
        <f>H27+($F$10*H27)</f>
        <v>39.954416864464093</v>
      </c>
      <c r="I28" s="30">
        <f>I27+($F$10*I27)</f>
        <v>49.943021080580102</v>
      </c>
      <c r="J28" s="30">
        <f>J27+($F$10*J27)</f>
        <v>55.492245645089014</v>
      </c>
      <c r="K28" s="30">
        <f>K27+($F$11*K27)</f>
        <v>7.9343716147200007</v>
      </c>
      <c r="L28" s="30">
        <f>I28*$F$12</f>
        <v>29.965812648348059</v>
      </c>
      <c r="M28" s="30">
        <f>M27+($F$10*M27)</f>
        <v>665.90694774106817</v>
      </c>
      <c r="N28" s="30">
        <f>N27+($F$13*N27)</f>
        <v>562.84016906249985</v>
      </c>
      <c r="O28" s="30">
        <f>O27+($F$14*O27)</f>
        <v>70.862439999999992</v>
      </c>
      <c r="P28" s="30">
        <f>P27+($F$15*P27)</f>
        <v>703.55021132812487</v>
      </c>
      <c r="Q28" s="30">
        <f>P28+($F$16*P28)</f>
        <v>809.08274302734355</v>
      </c>
      <c r="R28" s="30">
        <f>R27+($F$17*R27)</f>
        <v>5049.2214918496629</v>
      </c>
      <c r="S28" s="30">
        <f>S27+($F$18*S27)</f>
        <v>35.821568895870001</v>
      </c>
      <c r="T28" s="31">
        <f t="shared" si="1"/>
        <v>500.37330099411065</v>
      </c>
    </row>
    <row r="29" spans="1:20" x14ac:dyDescent="0.2">
      <c r="A29" s="29" t="s">
        <v>8</v>
      </c>
      <c r="B29" s="33">
        <f t="shared" si="0"/>
        <v>80</v>
      </c>
      <c r="C29" s="30">
        <f>C28+($E$8*C28)</f>
        <v>66.485494970507816</v>
      </c>
      <c r="D29" s="30">
        <f>D28+($E$9*D28)</f>
        <v>64.307664299999999</v>
      </c>
      <c r="E29" s="30">
        <f>E28+($F$8*E28)</f>
        <v>66.485494970507816</v>
      </c>
      <c r="F29" s="30">
        <f>F28+($F$9*F28)</f>
        <v>55.527906308456444</v>
      </c>
      <c r="G29" s="30">
        <f>G28+($F$10*G28)</f>
        <v>112.6492586595307</v>
      </c>
      <c r="H29" s="30">
        <f>H28+($F$10*H28)</f>
        <v>40.553733117431058</v>
      </c>
      <c r="I29" s="30">
        <f>I28+($F$10*I28)</f>
        <v>50.692166396788807</v>
      </c>
      <c r="J29" s="30">
        <f>J28+($F$10*J28)</f>
        <v>56.324629329765351</v>
      </c>
      <c r="K29" s="30">
        <f>K28+($F$11*K28)</f>
        <v>8.5691213438976011</v>
      </c>
      <c r="L29" s="30">
        <f>I29*$F$12</f>
        <v>30.415299838073281</v>
      </c>
      <c r="M29" s="30">
        <f>M28+($F$10*M28)</f>
        <v>675.89555195718424</v>
      </c>
      <c r="N29" s="30">
        <f>N28+($F$13*N28)</f>
        <v>590.98217751562481</v>
      </c>
      <c r="O29" s="30">
        <f>O28+($F$14*O28)</f>
        <v>77.948683999999986</v>
      </c>
      <c r="P29" s="30">
        <f>P28+($F$15*P28)</f>
        <v>738.7277218945311</v>
      </c>
      <c r="Q29" s="30">
        <f>P29+($F$16*P29)</f>
        <v>849.53688017871082</v>
      </c>
      <c r="R29" s="30">
        <f>R28+($F$17*R28)</f>
        <v>5604.6358559531254</v>
      </c>
      <c r="S29" s="30">
        <f>S28+($F$18*S28)</f>
        <v>36.896215962746098</v>
      </c>
      <c r="T29" s="31">
        <f t="shared" si="1"/>
        <v>555.4143641034625</v>
      </c>
    </row>
    <row r="30" spans="1:20" x14ac:dyDescent="0.2">
      <c r="A30" s="29" t="s">
        <v>9</v>
      </c>
      <c r="B30" s="33">
        <f t="shared" si="0"/>
        <v>80</v>
      </c>
      <c r="C30" s="30">
        <f>C29+($E$8*C29)</f>
        <v>69.809769719033213</v>
      </c>
      <c r="D30" s="30">
        <f>D29+($E$9*D29)</f>
        <v>70.738430730000005</v>
      </c>
      <c r="E30" s="30">
        <f>E29+($F$8*E29)</f>
        <v>69.809769719033213</v>
      </c>
      <c r="F30" s="30">
        <f>F29+($F$9*F29)</f>
        <v>59.970138813132962</v>
      </c>
      <c r="G30" s="30">
        <f>G29+($F$10*G29)</f>
        <v>114.33899753942366</v>
      </c>
      <c r="H30" s="30">
        <f>H29+($F$10*H29)</f>
        <v>41.162039114192524</v>
      </c>
      <c r="I30" s="30">
        <f>I29+($F$10*I29)</f>
        <v>51.452548892740637</v>
      </c>
      <c r="J30" s="30">
        <f>J29+($F$10*J29)</f>
        <v>57.169498769711829</v>
      </c>
      <c r="K30" s="30">
        <f>K29+($F$11*K29)</f>
        <v>9.2546510514094091</v>
      </c>
      <c r="L30" s="30">
        <f>I30*$F$12</f>
        <v>30.871529335644382</v>
      </c>
      <c r="M30" s="30">
        <f>M29+($F$10*M29)</f>
        <v>686.03398523654198</v>
      </c>
      <c r="N30" s="30">
        <f>N29+($F$13*N29)</f>
        <v>620.53128639140607</v>
      </c>
      <c r="O30" s="30">
        <f>O29+($F$14*O29)</f>
        <v>85.743552399999984</v>
      </c>
      <c r="P30" s="30">
        <f>P29+($F$15*P29)</f>
        <v>775.66410798925767</v>
      </c>
      <c r="Q30" s="30">
        <f>P30+($F$16*P30)</f>
        <v>892.01372418764629</v>
      </c>
      <c r="R30" s="30">
        <f>R29+($F$17*R29)</f>
        <v>6221.1458001079691</v>
      </c>
      <c r="S30" s="30">
        <f>S29+($F$18*S29)</f>
        <v>38.003102441628478</v>
      </c>
      <c r="T30" s="31">
        <f t="shared" si="1"/>
        <v>616.50994415484365</v>
      </c>
    </row>
    <row r="31" spans="1:20" x14ac:dyDescent="0.2">
      <c r="A31" s="10" t="s">
        <v>10</v>
      </c>
      <c r="B31" s="40">
        <f t="shared" si="0"/>
        <v>80</v>
      </c>
      <c r="C31" s="47">
        <f>C30+($E$8*C30)</f>
        <v>73.300258204984871</v>
      </c>
      <c r="D31" s="47">
        <f>D30+($E$9*D30)</f>
        <v>77.812273803000011</v>
      </c>
      <c r="E31" s="47">
        <f>E30+($F$8*E30)</f>
        <v>73.300258204984871</v>
      </c>
      <c r="F31" s="47">
        <f>F30+($F$9*F30)</f>
        <v>64.767749918183597</v>
      </c>
      <c r="G31" s="47">
        <f>G30+($F$10*G30)</f>
        <v>116.05408250251502</v>
      </c>
      <c r="H31" s="47">
        <f>H30+($F$10*H30)</f>
        <v>41.779469700905409</v>
      </c>
      <c r="I31" s="47">
        <f>I30+($F$10*I30)</f>
        <v>52.224337126131744</v>
      </c>
      <c r="J31" s="47">
        <f>J30+($F$10*J30)</f>
        <v>58.027041251257508</v>
      </c>
      <c r="K31" s="47">
        <f>K30+($F$11*K30)</f>
        <v>9.9950231355221621</v>
      </c>
      <c r="L31" s="47">
        <f>I31*$F$12</f>
        <v>31.334602275679046</v>
      </c>
      <c r="M31" s="47">
        <f>M30+($F$10*M30)</f>
        <v>696.32449501509006</v>
      </c>
      <c r="N31" s="47">
        <f>N30+($F$13*N30)</f>
        <v>651.55785071097637</v>
      </c>
      <c r="O31" s="47">
        <f>O30+($F$14*O30)</f>
        <v>94.317907639999987</v>
      </c>
      <c r="P31" s="47">
        <f>P30+($F$15*P30)</f>
        <v>814.44731338872054</v>
      </c>
      <c r="Q31" s="47">
        <f>P31+($F$16*P31)</f>
        <v>936.61441039702868</v>
      </c>
      <c r="R31" s="47">
        <f>R30+($F$17*R30)</f>
        <v>6905.4718381198454</v>
      </c>
      <c r="S31" s="47">
        <f>S30+($F$18*S30)</f>
        <v>39.143195514877334</v>
      </c>
      <c r="T31" s="48">
        <f t="shared" si="1"/>
        <v>684.32603801187634</v>
      </c>
    </row>
    <row r="33" spans="2:7" x14ac:dyDescent="0.2">
      <c r="B33" s="15" t="s">
        <v>46</v>
      </c>
      <c r="C33" s="53">
        <v>0.05</v>
      </c>
    </row>
    <row r="34" spans="2:7" x14ac:dyDescent="0.2">
      <c r="B34" s="54" t="s">
        <v>47</v>
      </c>
      <c r="C34" s="43">
        <v>0.1</v>
      </c>
    </row>
    <row r="35" spans="2:7" x14ac:dyDescent="0.2">
      <c r="B35" s="13" t="s">
        <v>48</v>
      </c>
      <c r="C35" s="46">
        <v>0.06</v>
      </c>
    </row>
    <row r="38" spans="2:7" ht="34" x14ac:dyDescent="0.2">
      <c r="B38" s="59" t="s">
        <v>79</v>
      </c>
      <c r="C38" s="60" t="s">
        <v>64</v>
      </c>
      <c r="D38" s="60" t="s">
        <v>65</v>
      </c>
      <c r="E38" s="61" t="s">
        <v>46</v>
      </c>
      <c r="F38" s="61" t="s">
        <v>47</v>
      </c>
      <c r="G38" s="62" t="s">
        <v>48</v>
      </c>
    </row>
    <row r="39" spans="2:7" ht="15" customHeight="1" x14ac:dyDescent="0.2">
      <c r="B39" s="54" t="s">
        <v>1</v>
      </c>
      <c r="C39" s="55">
        <f>G22*(C22+D22)</f>
        <v>8145.375</v>
      </c>
      <c r="D39" s="55">
        <f>G22*(E22+F22)</f>
        <v>8084.4750000000004</v>
      </c>
      <c r="E39" s="55">
        <f>C39*$C$33</f>
        <v>407.26875000000001</v>
      </c>
      <c r="F39" s="55">
        <f>C39*$C$34</f>
        <v>814.53750000000002</v>
      </c>
      <c r="G39" s="56">
        <f>C39*$C$35</f>
        <v>488.72249999999997</v>
      </c>
    </row>
    <row r="40" spans="2:7" x14ac:dyDescent="0.2">
      <c r="B40" s="54" t="s">
        <v>2</v>
      </c>
      <c r="C40" s="55">
        <f t="shared" ref="C40:C47" si="2">G23*(C23+D23)</f>
        <v>8850.920531249998</v>
      </c>
      <c r="D40" s="55">
        <f t="shared" ref="D40:D48" si="3">G23*(E23+F23)</f>
        <v>8716.1671012499992</v>
      </c>
      <c r="E40" s="55">
        <f t="shared" ref="E40:E48" si="4">C40*$C$33</f>
        <v>442.54602656249995</v>
      </c>
      <c r="F40" s="55">
        <f t="shared" ref="F40:F48" si="5">C40*$C$34</f>
        <v>885.09205312499989</v>
      </c>
      <c r="G40" s="56">
        <f t="shared" ref="G40:G48" si="6">C40*$C$35</f>
        <v>531.05523187499989</v>
      </c>
    </row>
    <row r="41" spans="2:7" x14ac:dyDescent="0.2">
      <c r="B41" s="54" t="s">
        <v>3</v>
      </c>
      <c r="C41" s="55">
        <f t="shared" si="2"/>
        <v>9622.6591812421866</v>
      </c>
      <c r="D41" s="55">
        <f t="shared" si="3"/>
        <v>9399.0262212511861</v>
      </c>
      <c r="E41" s="55">
        <f t="shared" si="4"/>
        <v>481.13295906210936</v>
      </c>
      <c r="F41" s="55">
        <f t="shared" si="5"/>
        <v>962.26591812421873</v>
      </c>
      <c r="G41" s="56">
        <f t="shared" si="6"/>
        <v>577.35955087453112</v>
      </c>
    </row>
    <row r="42" spans="2:7" x14ac:dyDescent="0.2">
      <c r="B42" s="54" t="s">
        <v>4</v>
      </c>
      <c r="C42" s="55">
        <f t="shared" si="2"/>
        <v>10467.250255291143</v>
      </c>
      <c r="D42" s="55">
        <f t="shared" si="3"/>
        <v>10137.343311396096</v>
      </c>
      <c r="E42" s="55">
        <f t="shared" si="4"/>
        <v>523.36251276455721</v>
      </c>
      <c r="F42" s="55">
        <f t="shared" si="5"/>
        <v>1046.7250255291144</v>
      </c>
      <c r="G42" s="56">
        <f t="shared" si="6"/>
        <v>628.03501531746849</v>
      </c>
    </row>
    <row r="43" spans="2:7" x14ac:dyDescent="0.2">
      <c r="B43" s="54" t="s">
        <v>5</v>
      </c>
      <c r="C43" s="55">
        <f t="shared" si="2"/>
        <v>11392.059686089604</v>
      </c>
      <c r="D43" s="55">
        <f t="shared" si="3"/>
        <v>10935.780603586627</v>
      </c>
      <c r="E43" s="55">
        <f t="shared" si="4"/>
        <v>569.60298430448017</v>
      </c>
      <c r="F43" s="55">
        <f t="shared" si="5"/>
        <v>1139.2059686089603</v>
      </c>
      <c r="G43" s="56">
        <f t="shared" si="6"/>
        <v>683.52358116537619</v>
      </c>
    </row>
    <row r="44" spans="2:7" x14ac:dyDescent="0.2">
      <c r="B44" s="54" t="s">
        <v>6</v>
      </c>
      <c r="C44" s="55">
        <f t="shared" si="2"/>
        <v>12405.237807101834</v>
      </c>
      <c r="D44" s="55">
        <f t="shared" si="3"/>
        <v>11799.404598201334</v>
      </c>
      <c r="E44" s="55">
        <f t="shared" si="4"/>
        <v>620.26189035509174</v>
      </c>
      <c r="F44" s="55">
        <f t="shared" si="5"/>
        <v>1240.5237807101835</v>
      </c>
      <c r="G44" s="56">
        <f t="shared" si="6"/>
        <v>744.31426842610995</v>
      </c>
    </row>
    <row r="45" spans="2:7" x14ac:dyDescent="0.2">
      <c r="B45" s="54" t="s">
        <v>7</v>
      </c>
      <c r="C45" s="55">
        <f t="shared" si="2"/>
        <v>13515.805887480557</v>
      </c>
      <c r="D45" s="55">
        <f t="shared" si="3"/>
        <v>12733.72204605912</v>
      </c>
      <c r="E45" s="55">
        <f t="shared" si="4"/>
        <v>675.79029437402789</v>
      </c>
      <c r="F45" s="55">
        <f t="shared" si="5"/>
        <v>1351.5805887480558</v>
      </c>
      <c r="G45" s="56">
        <f t="shared" si="6"/>
        <v>810.94835324883343</v>
      </c>
    </row>
    <row r="46" spans="2:7" x14ac:dyDescent="0.2">
      <c r="B46" s="54" t="s">
        <v>8</v>
      </c>
      <c r="C46" s="55">
        <f t="shared" si="2"/>
        <v>14733.752429560633</v>
      </c>
      <c r="D46" s="55">
        <f t="shared" si="3"/>
        <v>13744.71920060316</v>
      </c>
      <c r="E46" s="55">
        <f t="shared" si="4"/>
        <v>736.6876214780317</v>
      </c>
      <c r="F46" s="55">
        <f t="shared" si="5"/>
        <v>1473.3752429560634</v>
      </c>
      <c r="G46" s="56">
        <f t="shared" si="6"/>
        <v>884.02514577363797</v>
      </c>
    </row>
    <row r="47" spans="2:7" x14ac:dyDescent="0.2">
      <c r="B47" s="54" t="s">
        <v>9</v>
      </c>
      <c r="C47" s="55">
        <f t="shared" si="2"/>
        <v>16070.140345312433</v>
      </c>
      <c r="D47" s="55">
        <f t="shared" si="3"/>
        <v>14838.904642325977</v>
      </c>
      <c r="E47" s="55">
        <f t="shared" si="4"/>
        <v>803.5070172656217</v>
      </c>
      <c r="F47" s="55">
        <f t="shared" si="5"/>
        <v>1607.0140345312434</v>
      </c>
      <c r="G47" s="56">
        <f t="shared" si="6"/>
        <v>964.20842071874597</v>
      </c>
    </row>
    <row r="48" spans="2:7" x14ac:dyDescent="0.2">
      <c r="B48" s="13" t="s">
        <v>10</v>
      </c>
      <c r="C48" s="57">
        <f>G31*(C31+D31)</f>
        <v>17537.22625681862</v>
      </c>
      <c r="D48" s="57">
        <f t="shared" si="3"/>
        <v>16023.356005684105</v>
      </c>
      <c r="E48" s="57">
        <f t="shared" si="4"/>
        <v>876.86131284093108</v>
      </c>
      <c r="F48" s="57">
        <f t="shared" si="5"/>
        <v>1753.7226256818622</v>
      </c>
      <c r="G48" s="58">
        <f t="shared" si="6"/>
        <v>1052.2335754091171</v>
      </c>
    </row>
  </sheetData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AA8B3F-604C-5448-B6CA-EF376261CA19}">
  <dimension ref="A1:M44"/>
  <sheetViews>
    <sheetView workbookViewId="0">
      <selection activeCell="C3" sqref="C3"/>
    </sheetView>
  </sheetViews>
  <sheetFormatPr baseColWidth="10" defaultRowHeight="16" x14ac:dyDescent="0.2"/>
  <cols>
    <col min="1" max="1" width="16.5" bestFit="1" customWidth="1"/>
    <col min="2" max="2" width="14.6640625" customWidth="1"/>
    <col min="3" max="3" width="19.1640625" customWidth="1"/>
    <col min="4" max="4" width="21.1640625" customWidth="1"/>
    <col min="5" max="5" width="17.1640625" customWidth="1"/>
    <col min="6" max="6" width="22.33203125" bestFit="1" customWidth="1"/>
    <col min="7" max="7" width="19.33203125" customWidth="1"/>
    <col min="8" max="8" width="12.1640625" customWidth="1"/>
    <col min="9" max="9" width="13" customWidth="1"/>
    <col min="10" max="10" width="11.33203125" customWidth="1"/>
    <col min="11" max="11" width="18.33203125" customWidth="1"/>
    <col min="12" max="12" width="16.83203125" customWidth="1"/>
    <col min="13" max="13" width="14.83203125" customWidth="1"/>
  </cols>
  <sheetData>
    <row r="1" spans="1:13" ht="21" x14ac:dyDescent="0.25">
      <c r="A1" s="22" t="s">
        <v>92</v>
      </c>
    </row>
    <row r="3" spans="1:13" ht="21" x14ac:dyDescent="0.25">
      <c r="A3" s="32" t="s">
        <v>57</v>
      </c>
    </row>
    <row r="4" spans="1:13" x14ac:dyDescent="0.2">
      <c r="B4" s="4"/>
    </row>
    <row r="5" spans="1:13" x14ac:dyDescent="0.2">
      <c r="A5" s="4" t="s">
        <v>79</v>
      </c>
      <c r="B5" s="4" t="s">
        <v>59</v>
      </c>
      <c r="C5" s="7" t="s">
        <v>11</v>
      </c>
      <c r="D5" s="7" t="s">
        <v>12</v>
      </c>
      <c r="E5" s="7" t="s">
        <v>60</v>
      </c>
      <c r="F5" s="7" t="s">
        <v>61</v>
      </c>
      <c r="G5" s="7" t="s">
        <v>33</v>
      </c>
      <c r="H5" s="7" t="s">
        <v>34</v>
      </c>
      <c r="I5" s="7" t="s">
        <v>62</v>
      </c>
      <c r="J5" s="7" t="s">
        <v>47</v>
      </c>
      <c r="K5" s="7" t="s">
        <v>63</v>
      </c>
      <c r="L5" s="7" t="s">
        <v>66</v>
      </c>
      <c r="M5" s="7" t="s">
        <v>67</v>
      </c>
    </row>
    <row r="6" spans="1:13" x14ac:dyDescent="0.2">
      <c r="A6" t="s">
        <v>58</v>
      </c>
      <c r="B6" s="5">
        <v>150</v>
      </c>
      <c r="C6">
        <v>1000</v>
      </c>
      <c r="E6" s="2">
        <f>('Data Dump'!C8*'Data Dump'!C12) + ('Data Dump'!C9*'Data Dump'!C13)</f>
        <v>2970</v>
      </c>
      <c r="H6" s="2">
        <f>'Data Dump'!C16</f>
        <v>400</v>
      </c>
      <c r="M6" s="2">
        <f>SUM(B6:L6)</f>
        <v>4520</v>
      </c>
    </row>
    <row r="7" spans="1:13" x14ac:dyDescent="0.2">
      <c r="A7" t="s">
        <v>1</v>
      </c>
      <c r="B7" s="2"/>
      <c r="D7">
        <f>'Data Dump'!B22</f>
        <v>80</v>
      </c>
      <c r="E7" s="2">
        <f>('Data Dump'!C22*'Data Dump'!H22) + ('Data Dump'!D22*'Data Dump'!I22)</f>
        <v>3233.79</v>
      </c>
      <c r="F7" s="2">
        <f>('Data Dump'!K22*'Data Dump'!L22)</f>
        <v>137.02499999999998</v>
      </c>
      <c r="H7" s="2">
        <f>'Data Dump'!N22+'Data Dump'!O22</f>
        <v>460</v>
      </c>
      <c r="I7" s="2">
        <f>'Data Dump'!Q22</f>
        <v>603.75</v>
      </c>
      <c r="J7" s="2">
        <f>'Data Dump'!F39</f>
        <v>814.53750000000002</v>
      </c>
      <c r="K7" s="2">
        <f>'Data Dump'!G39</f>
        <v>488.72249999999997</v>
      </c>
      <c r="L7" s="2">
        <f>'Data Dump'!T22</f>
        <v>267.52</v>
      </c>
      <c r="M7" s="2">
        <f>SUM(D7:L7)</f>
        <v>6085.3450000000012</v>
      </c>
    </row>
    <row r="8" spans="1:13" x14ac:dyDescent="0.2">
      <c r="A8" t="s">
        <v>2</v>
      </c>
      <c r="B8" s="2"/>
      <c r="D8">
        <f>'Data Dump'!B23</f>
        <v>80</v>
      </c>
      <c r="E8" s="2">
        <f>('Data Dump'!C23*'Data Dump'!H23) + ('Data Dump'!D23*'Data Dump'!I23)</f>
        <v>3522.9058987499993</v>
      </c>
      <c r="F8" s="2">
        <f>('Data Dump'!K23*'Data Dump'!L23)</f>
        <v>150.206805</v>
      </c>
      <c r="H8" s="2">
        <f>'Data Dump'!N23+'Data Dump'!O23</f>
        <v>485</v>
      </c>
      <c r="I8" s="2">
        <f>'Data Dump'!Q23</f>
        <v>633.9375</v>
      </c>
      <c r="J8" s="2">
        <f>'Data Dump'!F40</f>
        <v>885.09205312499989</v>
      </c>
      <c r="K8" s="2">
        <f>'Data Dump'!G40</f>
        <v>531.05523187499989</v>
      </c>
      <c r="L8" s="2">
        <f>'Data Dump'!T23</f>
        <v>296.94720000000007</v>
      </c>
      <c r="M8" s="2">
        <f t="shared" ref="M8:M16" si="0">SUM(D8:L8)</f>
        <v>6585.1446887499987</v>
      </c>
    </row>
    <row r="9" spans="1:13" x14ac:dyDescent="0.2">
      <c r="A9" t="s">
        <v>3</v>
      </c>
      <c r="B9" s="2"/>
      <c r="D9">
        <f>'Data Dump'!B24</f>
        <v>80</v>
      </c>
      <c r="E9" s="2">
        <f>('Data Dump'!C24*'Data Dump'!H24) + ('Data Dump'!D24*'Data Dump'!I24)</f>
        <v>3839.9427428709373</v>
      </c>
      <c r="F9" s="2">
        <f>('Data Dump'!K24*'Data Dump'!L24)</f>
        <v>164.65669964100002</v>
      </c>
      <c r="H9" s="2">
        <f>'Data Dump'!N24+'Data Dump'!O24</f>
        <v>511.45</v>
      </c>
      <c r="I9" s="2">
        <f>'Data Dump'!Q24</f>
        <v>665.63437499999998</v>
      </c>
      <c r="J9" s="2">
        <f>'Data Dump'!F41</f>
        <v>962.26591812421873</v>
      </c>
      <c r="K9" s="2">
        <f>'Data Dump'!G41</f>
        <v>577.35955087453112</v>
      </c>
      <c r="L9" s="2">
        <f>'Data Dump'!T24</f>
        <v>329.6113919999998</v>
      </c>
      <c r="M9" s="2">
        <f t="shared" si="0"/>
        <v>7130.9206785106871</v>
      </c>
    </row>
    <row r="10" spans="1:13" x14ac:dyDescent="0.2">
      <c r="A10" t="s">
        <v>4</v>
      </c>
      <c r="B10" s="2"/>
      <c r="D10">
        <f>'Data Dump'!B25</f>
        <v>80</v>
      </c>
      <c r="E10" s="2">
        <f>('Data Dump'!C25*'Data Dump'!H25) + ('Data Dump'!D25*'Data Dump'!I25)</f>
        <v>4187.7745330117286</v>
      </c>
      <c r="F10" s="2">
        <f>('Data Dump'!K25*'Data Dump'!L25)</f>
        <v>180.49667414646422</v>
      </c>
      <c r="G10">
        <v>636.82000000000005</v>
      </c>
      <c r="H10" s="2">
        <f>'Data Dump'!N25+'Data Dump'!O25</f>
        <v>539.4425</v>
      </c>
      <c r="I10" s="2">
        <f>'Data Dump'!Q25</f>
        <v>698.91609374999996</v>
      </c>
      <c r="J10" s="2">
        <f>'Data Dump'!F42</f>
        <v>1046.7250255291144</v>
      </c>
      <c r="K10" s="2">
        <f>'Data Dump'!G42</f>
        <v>628.03501531746849</v>
      </c>
      <c r="L10" s="2">
        <f>'Data Dump'!T25</f>
        <v>365.86864512000011</v>
      </c>
      <c r="M10" s="2">
        <f t="shared" si="0"/>
        <v>8364.078486874776</v>
      </c>
    </row>
    <row r="11" spans="1:13" x14ac:dyDescent="0.2">
      <c r="A11" t="s">
        <v>5</v>
      </c>
      <c r="B11" s="2"/>
      <c r="D11">
        <f>'Data Dump'!B26</f>
        <v>80</v>
      </c>
      <c r="E11" s="2">
        <f>('Data Dump'!C26*'Data Dump'!H26) + ('Data Dump'!D26*'Data Dump'!I26)</f>
        <v>4569.5851854881294</v>
      </c>
      <c r="F11" s="2">
        <f>('Data Dump'!K26*'Data Dump'!L26)</f>
        <v>197.86045419935405</v>
      </c>
      <c r="H11" s="2">
        <f>'Data Dump'!N26+'Data Dump'!O26</f>
        <v>569.07662499999992</v>
      </c>
      <c r="I11" s="2">
        <f>'Data Dump'!Q26</f>
        <v>733.86189843749992</v>
      </c>
      <c r="J11" s="2">
        <f>'Data Dump'!F43</f>
        <v>1139.2059686089603</v>
      </c>
      <c r="K11" s="2">
        <f>'Data Dump'!G43</f>
        <v>683.52358116537619</v>
      </c>
      <c r="L11" s="2">
        <f>'Data Dump'!T26</f>
        <v>406.11419608320011</v>
      </c>
      <c r="M11" s="2">
        <f t="shared" si="0"/>
        <v>8379.2279089825206</v>
      </c>
    </row>
    <row r="12" spans="1:13" x14ac:dyDescent="0.2">
      <c r="A12" t="s">
        <v>6</v>
      </c>
      <c r="B12" s="2"/>
      <c r="D12">
        <f>'Data Dump'!B27</f>
        <v>80</v>
      </c>
      <c r="E12" s="2">
        <f>('Data Dump'!C27*'Data Dump'!H27) + ('Data Dump'!D27*'Data Dump'!I27)</f>
        <v>4988.9029999273016</v>
      </c>
      <c r="F12" s="2">
        <f>('Data Dump'!K27*'Data Dump'!L27)</f>
        <v>216.89462989333188</v>
      </c>
      <c r="H12" s="2">
        <f>'Data Dump'!N27+'Data Dump'!O27</f>
        <v>600.45865624999988</v>
      </c>
      <c r="I12" s="2">
        <f>'Data Dump'!Q27</f>
        <v>770.55499335937486</v>
      </c>
      <c r="J12" s="2">
        <f>'Data Dump'!F44</f>
        <v>1240.5237807101835</v>
      </c>
      <c r="K12" s="2">
        <f>'Data Dump'!G44</f>
        <v>744.31426842610995</v>
      </c>
      <c r="L12" s="2">
        <f>'Data Dump'!T27</f>
        <v>450.78675765235221</v>
      </c>
      <c r="M12" s="2">
        <f t="shared" si="0"/>
        <v>9092.4360862186513</v>
      </c>
    </row>
    <row r="13" spans="1:13" x14ac:dyDescent="0.2">
      <c r="A13" t="s">
        <v>7</v>
      </c>
      <c r="B13" s="2"/>
      <c r="D13">
        <f>'Data Dump'!B28</f>
        <v>80</v>
      </c>
      <c r="E13" s="2">
        <f>('Data Dump'!C28*'Data Dump'!H28) + ('Data Dump'!D28*'Data Dump'!I28)</f>
        <v>5449.6390347253218</v>
      </c>
      <c r="F13" s="2">
        <f>('Data Dump'!K28*'Data Dump'!L28)</f>
        <v>237.75989328907042</v>
      </c>
      <c r="H13" s="2">
        <f>'Data Dump'!N28+'Data Dump'!O28</f>
        <v>633.70260906249985</v>
      </c>
      <c r="I13" s="2">
        <f>'Data Dump'!Q28</f>
        <v>809.08274302734355</v>
      </c>
      <c r="J13" s="2">
        <f>'Data Dump'!F45</f>
        <v>1351.5805887480558</v>
      </c>
      <c r="K13" s="2">
        <f>'Data Dump'!G45</f>
        <v>810.94835324883343</v>
      </c>
      <c r="L13" s="2">
        <f>'Data Dump'!T28</f>
        <v>500.37330099411065</v>
      </c>
      <c r="M13" s="2">
        <f t="shared" si="0"/>
        <v>9873.0865230952368</v>
      </c>
    </row>
    <row r="14" spans="1:13" x14ac:dyDescent="0.2">
      <c r="A14" t="s">
        <v>8</v>
      </c>
      <c r="B14" s="2"/>
      <c r="D14">
        <f>'Data Dump'!B29</f>
        <v>80</v>
      </c>
      <c r="E14" s="2">
        <f>('Data Dump'!C29*'Data Dump'!H29) + ('Data Dump'!D29*'Data Dump'!I29)</f>
        <v>5956.129838498714</v>
      </c>
      <c r="F14" s="2">
        <f>('Data Dump'!K29*'Data Dump'!L29)</f>
        <v>260.63239502347898</v>
      </c>
      <c r="H14" s="2">
        <f>'Data Dump'!N29+'Data Dump'!O29</f>
        <v>668.93086151562477</v>
      </c>
      <c r="I14" s="2">
        <f>'Data Dump'!Q29</f>
        <v>849.53688017871082</v>
      </c>
      <c r="J14" s="2">
        <f>'Data Dump'!F46</f>
        <v>1473.3752429560634</v>
      </c>
      <c r="K14" s="2">
        <f>'Data Dump'!G46</f>
        <v>884.02514577363797</v>
      </c>
      <c r="L14" s="2">
        <f>'Data Dump'!T29</f>
        <v>555.4143641034625</v>
      </c>
      <c r="M14" s="2">
        <f t="shared" si="0"/>
        <v>10728.044728049692</v>
      </c>
    </row>
    <row r="15" spans="1:13" x14ac:dyDescent="0.2">
      <c r="A15" t="s">
        <v>9</v>
      </c>
      <c r="B15" s="2"/>
      <c r="D15">
        <f>'Data Dump'!B30</f>
        <v>80</v>
      </c>
      <c r="E15" s="2">
        <f>('Data Dump'!C30*'Data Dump'!H30) + ('Data Dump'!D30*'Data Dump'!I30)</f>
        <v>6513.1850374586902</v>
      </c>
      <c r="F15" s="2">
        <f>('Data Dump'!K30*'Data Dump'!L30)</f>
        <v>285.70523142473769</v>
      </c>
      <c r="H15" s="2">
        <f>'Data Dump'!N30+'Data Dump'!O30</f>
        <v>706.27483879140607</v>
      </c>
      <c r="I15" s="2">
        <f>'Data Dump'!Q30</f>
        <v>892.01372418764629</v>
      </c>
      <c r="J15" s="2">
        <f>'Data Dump'!F47</f>
        <v>1607.0140345312434</v>
      </c>
      <c r="K15" s="2">
        <f>'Data Dump'!G47</f>
        <v>964.20842071874597</v>
      </c>
      <c r="L15" s="2">
        <f>'Data Dump'!T30</f>
        <v>616.50994415484365</v>
      </c>
      <c r="M15" s="2">
        <f t="shared" si="0"/>
        <v>11664.911231267313</v>
      </c>
    </row>
    <row r="16" spans="1:13" x14ac:dyDescent="0.2">
      <c r="A16" t="s">
        <v>10</v>
      </c>
      <c r="B16" s="2"/>
      <c r="D16">
        <f>'Data Dump'!B31</f>
        <v>80</v>
      </c>
      <c r="E16" s="2">
        <f>('Data Dump'!C31*'Data Dump'!H31) + ('Data Dump'!D31*'Data Dump'!I31)</f>
        <v>7126.1403363824502</v>
      </c>
      <c r="F16" s="2">
        <f>('Data Dump'!K31*'Data Dump'!L31)</f>
        <v>313.19007468779745</v>
      </c>
      <c r="H16" s="2">
        <f>'Data Dump'!N31+'Data Dump'!O31</f>
        <v>745.87575835097641</v>
      </c>
      <c r="I16" s="2">
        <f>'Data Dump'!Q31</f>
        <v>936.61441039702868</v>
      </c>
      <c r="J16" s="2">
        <f>'Data Dump'!F48</f>
        <v>1753.7226256818622</v>
      </c>
      <c r="K16" s="2">
        <f>'Data Dump'!G48</f>
        <v>1052.2335754091171</v>
      </c>
      <c r="L16" s="2">
        <f>'Data Dump'!T31</f>
        <v>684.32603801187634</v>
      </c>
      <c r="M16" s="2">
        <f t="shared" si="0"/>
        <v>12692.102818921107</v>
      </c>
    </row>
    <row r="18" spans="1:6" ht="21" x14ac:dyDescent="0.25">
      <c r="A18" s="32" t="s">
        <v>68</v>
      </c>
    </row>
    <row r="19" spans="1:6" x14ac:dyDescent="0.2">
      <c r="B19" s="6"/>
    </row>
    <row r="20" spans="1:6" x14ac:dyDescent="0.2">
      <c r="A20" s="4" t="s">
        <v>79</v>
      </c>
      <c r="B20" s="4" t="s">
        <v>69</v>
      </c>
      <c r="C20" s="4" t="s">
        <v>70</v>
      </c>
      <c r="D20" s="4" t="s">
        <v>71</v>
      </c>
      <c r="E20" s="4" t="s">
        <v>72</v>
      </c>
      <c r="F20" s="4" t="s">
        <v>73</v>
      </c>
    </row>
    <row r="21" spans="1:6" x14ac:dyDescent="0.2">
      <c r="A21" t="s">
        <v>58</v>
      </c>
      <c r="B21" s="2"/>
      <c r="F21" s="2"/>
    </row>
    <row r="22" spans="1:6" x14ac:dyDescent="0.2">
      <c r="A22" t="s">
        <v>1</v>
      </c>
      <c r="B22" s="2">
        <f>('Data Dump'!C22*'Data Dump'!G22) + ('Data Dump'!D22*'Data Dump'!G22)</f>
        <v>8145.375</v>
      </c>
      <c r="C22" s="2">
        <f>'Data Dump'!K22*'Data Dump'!J22</f>
        <v>253.75</v>
      </c>
      <c r="D22" s="2">
        <f>'Data Dump'!E39</f>
        <v>407.26875000000001</v>
      </c>
      <c r="E22" s="2">
        <f>'Data Dump'!S22</f>
        <v>30</v>
      </c>
      <c r="F22" s="2">
        <f>SUM(B22:E22)</f>
        <v>8836.3937499999993</v>
      </c>
    </row>
    <row r="23" spans="1:6" x14ac:dyDescent="0.2">
      <c r="A23" t="s">
        <v>2</v>
      </c>
      <c r="B23" s="2">
        <f>('Data Dump'!C23*'Data Dump'!G23) + ('Data Dump'!D23*'Data Dump'!G23)</f>
        <v>8850.920531249998</v>
      </c>
      <c r="C23" s="2">
        <f>'Data Dump'!K23*'Data Dump'!J23</f>
        <v>278.16075000000001</v>
      </c>
      <c r="D23" s="2">
        <f>'Data Dump'!E40</f>
        <v>442.54602656249995</v>
      </c>
      <c r="E23" s="2">
        <f>'Data Dump'!S23</f>
        <v>30.9</v>
      </c>
      <c r="F23" s="2">
        <f>SUM(B23:E23)</f>
        <v>9602.5273078124974</v>
      </c>
    </row>
    <row r="24" spans="1:6" x14ac:dyDescent="0.2">
      <c r="A24" t="s">
        <v>3</v>
      </c>
      <c r="B24" s="2">
        <f>('Data Dump'!C24*'Data Dump'!G24) + ('Data Dump'!D24*'Data Dump'!G24)</f>
        <v>9622.6591812421866</v>
      </c>
      <c r="C24" s="2">
        <f>'Data Dump'!K24*'Data Dump'!J24</f>
        <v>304.91981415000004</v>
      </c>
      <c r="D24" s="2">
        <f>'Data Dump'!E41</f>
        <v>481.13295906210936</v>
      </c>
      <c r="E24" s="2">
        <f>'Data Dump'!S24</f>
        <v>31.826999999999998</v>
      </c>
      <c r="F24" s="2">
        <f>SUM(B24:E24)</f>
        <v>10440.538954454296</v>
      </c>
    </row>
    <row r="25" spans="1:6" x14ac:dyDescent="0.2">
      <c r="A25" t="s">
        <v>4</v>
      </c>
      <c r="B25" s="2">
        <f>('Data Dump'!C25*'Data Dump'!G25) + ('Data Dump'!D25*'Data Dump'!G25)</f>
        <v>10467.250255291143</v>
      </c>
      <c r="C25" s="2">
        <f>'Data Dump'!K25*'Data Dump'!J25</f>
        <v>334.25310027123004</v>
      </c>
      <c r="D25" s="2">
        <f>'Data Dump'!E42</f>
        <v>523.36251276455721</v>
      </c>
      <c r="E25" s="2">
        <f>'Data Dump'!S25</f>
        <v>32.78181</v>
      </c>
      <c r="F25" s="2">
        <f>SUM(B25:E25)</f>
        <v>11357.64767832693</v>
      </c>
    </row>
    <row r="26" spans="1:6" x14ac:dyDescent="0.2">
      <c r="A26" t="s">
        <v>5</v>
      </c>
      <c r="B26" s="2">
        <f>('Data Dump'!C26*'Data Dump'!G26) + ('Data Dump'!D26*'Data Dump'!G26)</f>
        <v>11392.059686089604</v>
      </c>
      <c r="C26" s="2">
        <f>'Data Dump'!K26*'Data Dump'!J26</f>
        <v>366.40824851732242</v>
      </c>
      <c r="D26" s="2">
        <f>'Data Dump'!E43</f>
        <v>569.60298430448017</v>
      </c>
      <c r="E26" s="2">
        <f>'Data Dump'!S26</f>
        <v>33.765264299999998</v>
      </c>
      <c r="F26" s="2">
        <f>SUM(B26:E26)</f>
        <v>12361.836183211406</v>
      </c>
    </row>
    <row r="27" spans="1:6" x14ac:dyDescent="0.2">
      <c r="A27" t="s">
        <v>6</v>
      </c>
      <c r="B27" s="2">
        <f>('Data Dump'!C27*'Data Dump'!G27) + ('Data Dump'!D27*'Data Dump'!G27)</f>
        <v>12405.237807101836</v>
      </c>
      <c r="C27" s="2">
        <f>'Data Dump'!K27*'Data Dump'!J27</f>
        <v>401.6567220246888</v>
      </c>
      <c r="D27" s="2">
        <f>'Data Dump'!E44</f>
        <v>620.26189035509174</v>
      </c>
      <c r="E27" s="2">
        <f>'Data Dump'!S27</f>
        <v>34.778222229000001</v>
      </c>
      <c r="F27" s="2">
        <f>SUM(B27:E27)</f>
        <v>13461.934641710617</v>
      </c>
    </row>
    <row r="28" spans="1:6" x14ac:dyDescent="0.2">
      <c r="A28" t="s">
        <v>7</v>
      </c>
      <c r="B28" s="2">
        <f>('Data Dump'!C28*'Data Dump'!G28) + ('Data Dump'!D28*'Data Dump'!G28)</f>
        <v>13515.805887480557</v>
      </c>
      <c r="C28" s="2">
        <f>'Data Dump'!K28*'Data Dump'!J28</f>
        <v>440.29609868346387</v>
      </c>
      <c r="D28" s="2">
        <f>'Data Dump'!E45</f>
        <v>675.79029437402789</v>
      </c>
      <c r="E28" s="2">
        <f>'Data Dump'!S28</f>
        <v>35.821568895870001</v>
      </c>
      <c r="F28" s="2">
        <f>SUM(B28:E28)</f>
        <v>14667.71384943392</v>
      </c>
    </row>
    <row r="29" spans="1:6" x14ac:dyDescent="0.2">
      <c r="A29" t="s">
        <v>8</v>
      </c>
      <c r="B29" s="2">
        <f>('Data Dump'!C29*'Data Dump'!G29) + ('Data Dump'!D29*'Data Dump'!G29)</f>
        <v>14733.752429560631</v>
      </c>
      <c r="C29" s="2">
        <f>'Data Dump'!K29*'Data Dump'!J29</f>
        <v>482.65258337681308</v>
      </c>
      <c r="D29" s="2">
        <f>'Data Dump'!E46</f>
        <v>736.6876214780317</v>
      </c>
      <c r="E29" s="2">
        <f>'Data Dump'!S29</f>
        <v>36.896215962746098</v>
      </c>
      <c r="F29" s="2">
        <f>SUM(B29:E29)</f>
        <v>15989.988850378222</v>
      </c>
    </row>
    <row r="30" spans="1:6" x14ac:dyDescent="0.2">
      <c r="A30" t="s">
        <v>9</v>
      </c>
      <c r="B30" s="2">
        <f>('Data Dump'!C30*'Data Dump'!G30) + ('Data Dump'!D30*'Data Dump'!G30)</f>
        <v>16070.140345312433</v>
      </c>
      <c r="C30" s="2">
        <f>'Data Dump'!K30*'Data Dump'!J30</f>
        <v>529.0837618976625</v>
      </c>
      <c r="D30" s="2">
        <f>'Data Dump'!E47</f>
        <v>803.5070172656217</v>
      </c>
      <c r="E30" s="2">
        <f>'Data Dump'!S30</f>
        <v>38.003102441628478</v>
      </c>
      <c r="F30" s="2">
        <f>SUM(B30:E30)</f>
        <v>17440.734226917346</v>
      </c>
    </row>
    <row r="31" spans="1:6" x14ac:dyDescent="0.2">
      <c r="A31" t="s">
        <v>10</v>
      </c>
      <c r="B31" s="2">
        <f>('Data Dump'!C31*'Data Dump'!G31) + ('Data Dump'!D31*'Data Dump'!G31)</f>
        <v>17537.22625681862</v>
      </c>
      <c r="C31" s="2">
        <f>'Data Dump'!K31*'Data Dump'!J31</f>
        <v>579.98161979221766</v>
      </c>
      <c r="D31" s="2">
        <f>'Data Dump'!E48</f>
        <v>876.86131284093108</v>
      </c>
      <c r="E31" s="2">
        <f>'Data Dump'!S31</f>
        <v>39.143195514877334</v>
      </c>
      <c r="F31" s="2">
        <f>SUM(B31:E31)</f>
        <v>19033.212384966646</v>
      </c>
    </row>
    <row r="34" spans="1:4" x14ac:dyDescent="0.2">
      <c r="A34" s="7" t="s">
        <v>79</v>
      </c>
      <c r="B34" s="4" t="s">
        <v>74</v>
      </c>
      <c r="C34" s="4" t="s">
        <v>75</v>
      </c>
      <c r="D34" s="4" t="s">
        <v>78</v>
      </c>
    </row>
    <row r="35" spans="1:4" x14ac:dyDescent="0.2">
      <c r="A35" t="s">
        <v>1</v>
      </c>
      <c r="B35" s="2">
        <f>F22-M7</f>
        <v>2751.0487499999981</v>
      </c>
      <c r="C35" s="2">
        <f>F22*'Data Dump'!$F$19</f>
        <v>883.63937499999997</v>
      </c>
      <c r="D35" s="2">
        <f t="shared" ref="D35:D44" si="1">B35-C35</f>
        <v>1867.4093749999981</v>
      </c>
    </row>
    <row r="36" spans="1:4" x14ac:dyDescent="0.2">
      <c r="A36" t="s">
        <v>2</v>
      </c>
      <c r="B36" s="2">
        <f>F23-M8</f>
        <v>3017.3826190624986</v>
      </c>
      <c r="C36" s="2">
        <f>F23*'Data Dump'!$F$19</f>
        <v>960.25273078124974</v>
      </c>
      <c r="D36" s="2">
        <f t="shared" si="1"/>
        <v>2057.1298882812489</v>
      </c>
    </row>
    <row r="37" spans="1:4" x14ac:dyDescent="0.2">
      <c r="A37" t="s">
        <v>3</v>
      </c>
      <c r="B37" s="2">
        <f>F24-M9</f>
        <v>3309.6182759436088</v>
      </c>
      <c r="C37" s="2">
        <f>F24*'Data Dump'!$F$19</f>
        <v>1044.0538954454296</v>
      </c>
      <c r="D37" s="2">
        <f t="shared" si="1"/>
        <v>2265.5643804981792</v>
      </c>
    </row>
    <row r="38" spans="1:4" x14ac:dyDescent="0.2">
      <c r="A38" t="s">
        <v>4</v>
      </c>
      <c r="B38" s="2">
        <f>F25-M10</f>
        <v>2993.569191452154</v>
      </c>
      <c r="C38" s="2">
        <f>F25*'Data Dump'!$F$19</f>
        <v>1135.764767832693</v>
      </c>
      <c r="D38" s="2">
        <f t="shared" si="1"/>
        <v>1857.804423619461</v>
      </c>
    </row>
    <row r="39" spans="1:4" x14ac:dyDescent="0.2">
      <c r="A39" t="s">
        <v>5</v>
      </c>
      <c r="B39" s="2">
        <f>F26-M11</f>
        <v>3982.6082742288854</v>
      </c>
      <c r="C39" s="2">
        <f>F26*'Data Dump'!$F$19</f>
        <v>1236.1836183211408</v>
      </c>
      <c r="D39" s="2">
        <f t="shared" si="1"/>
        <v>2746.4246559077446</v>
      </c>
    </row>
    <row r="40" spans="1:4" x14ac:dyDescent="0.2">
      <c r="A40" t="s">
        <v>6</v>
      </c>
      <c r="B40" s="2">
        <f>F27-M12</f>
        <v>4369.4985554919658</v>
      </c>
      <c r="C40" s="2">
        <f>F27*'Data Dump'!$F$19</f>
        <v>1346.1934641710618</v>
      </c>
      <c r="D40" s="2">
        <f t="shared" si="1"/>
        <v>3023.305091320904</v>
      </c>
    </row>
    <row r="41" spans="1:4" x14ac:dyDescent="0.2">
      <c r="A41" t="s">
        <v>7</v>
      </c>
      <c r="B41" s="2">
        <f>F28-M13</f>
        <v>4794.6273263386829</v>
      </c>
      <c r="C41" s="2">
        <f>F28*'Data Dump'!$F$19</f>
        <v>1466.7713849433921</v>
      </c>
      <c r="D41" s="2">
        <f t="shared" si="1"/>
        <v>3327.8559413952908</v>
      </c>
    </row>
    <row r="42" spans="1:4" x14ac:dyDescent="0.2">
      <c r="A42" t="s">
        <v>8</v>
      </c>
      <c r="B42" s="2">
        <f>F29-M14</f>
        <v>5261.9441223285303</v>
      </c>
      <c r="C42" s="2">
        <f>F29*'Data Dump'!$F$19</f>
        <v>1598.9988850378222</v>
      </c>
      <c r="D42" s="2">
        <f t="shared" si="1"/>
        <v>3662.9452372907081</v>
      </c>
    </row>
    <row r="43" spans="1:4" x14ac:dyDescent="0.2">
      <c r="A43" t="s">
        <v>9</v>
      </c>
      <c r="B43" s="2">
        <f>F30-M15</f>
        <v>5775.8229956500327</v>
      </c>
      <c r="C43" s="2">
        <f>F30*'Data Dump'!$F$19</f>
        <v>1744.0734226917348</v>
      </c>
      <c r="D43" s="2">
        <f t="shared" si="1"/>
        <v>4031.7495729582979</v>
      </c>
    </row>
    <row r="44" spans="1:4" x14ac:dyDescent="0.2">
      <c r="A44" t="s">
        <v>10</v>
      </c>
      <c r="B44" s="2">
        <f>F31-M16</f>
        <v>6341.1095660455394</v>
      </c>
      <c r="C44" s="2">
        <f>F31*'Data Dump'!$F$19</f>
        <v>1903.3212384966646</v>
      </c>
      <c r="D44" s="2">
        <f t="shared" si="1"/>
        <v>4437.7883275488748</v>
      </c>
    </row>
  </sheetData>
  <phoneticPr fontId="3" type="noConversion"/>
  <pageMargins left="0.7" right="0.7" top="0.75" bottom="0.75" header="0.3" footer="0.3"/>
  <ignoredErrors>
    <ignoredError sqref="E6" calculatedColumn="1"/>
  </ignoredErrors>
  <tableParts count="3">
    <tablePart r:id="rId1"/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E33599-1B4C-514A-90AA-0195215B38C2}">
  <dimension ref="A1:F19"/>
  <sheetViews>
    <sheetView workbookViewId="0">
      <selection activeCell="E14" sqref="E14"/>
    </sheetView>
  </sheetViews>
  <sheetFormatPr baseColWidth="10" defaultRowHeight="16" x14ac:dyDescent="0.2"/>
  <cols>
    <col min="3" max="3" width="16" bestFit="1" customWidth="1"/>
    <col min="4" max="4" width="23.1640625" bestFit="1" customWidth="1"/>
    <col min="5" max="6" width="13.83203125" bestFit="1" customWidth="1"/>
  </cols>
  <sheetData>
    <row r="1" spans="1:6" ht="21" x14ac:dyDescent="0.25">
      <c r="A1" s="22" t="s">
        <v>86</v>
      </c>
    </row>
    <row r="3" spans="1:6" x14ac:dyDescent="0.2">
      <c r="A3" s="18" t="s">
        <v>79</v>
      </c>
      <c r="B3" s="18" t="s">
        <v>77</v>
      </c>
      <c r="C3" s="18" t="s">
        <v>88</v>
      </c>
      <c r="D3" s="18" t="s">
        <v>85</v>
      </c>
      <c r="E3" s="16" t="s">
        <v>83</v>
      </c>
      <c r="F3" s="12"/>
    </row>
    <row r="4" spans="1:6" x14ac:dyDescent="0.2">
      <c r="A4" s="19">
        <v>0</v>
      </c>
      <c r="B4" s="19">
        <v>-1150</v>
      </c>
      <c r="C4" s="20">
        <f>B4/(1+'Data Dump'!$F$17)^'Question 2'!A4</f>
        <v>-1150</v>
      </c>
      <c r="D4" s="20">
        <f>C4/((1+$C$19)^A4)</f>
        <v>-1150</v>
      </c>
      <c r="E4" s="17" t="s">
        <v>84</v>
      </c>
      <c r="F4" s="26">
        <v>200</v>
      </c>
    </row>
    <row r="5" spans="1:6" x14ac:dyDescent="0.2">
      <c r="A5" s="19">
        <v>1</v>
      </c>
      <c r="B5" s="20">
        <f>'Question 1'!D35</f>
        <v>1867.4093749999981</v>
      </c>
      <c r="C5" s="20">
        <f>B5/(1+'Data Dump'!$F$17)^'Question 2'!A5</f>
        <v>1682.3507882882864</v>
      </c>
      <c r="D5" s="20">
        <f>C5/((1+$C$19)^A5)</f>
        <v>689.46408701006271</v>
      </c>
    </row>
    <row r="6" spans="1:6" x14ac:dyDescent="0.2">
      <c r="A6" s="19">
        <v>2</v>
      </c>
      <c r="B6" s="20">
        <f>'Question 1'!D36</f>
        <v>2057.1298882812489</v>
      </c>
      <c r="C6" s="20">
        <f>B6/(1+'Data Dump'!$F$17)^'Question 2'!A6</f>
        <v>1669.6127654258978</v>
      </c>
      <c r="D6" s="20">
        <f>C6/((1+$C$19)^A6)</f>
        <v>280.41803615827342</v>
      </c>
    </row>
    <row r="7" spans="1:6" x14ac:dyDescent="0.2">
      <c r="A7" s="19">
        <v>3</v>
      </c>
      <c r="B7" s="20">
        <f>'Question 1'!D37</f>
        <v>2265.5643804981792</v>
      </c>
      <c r="C7" s="20">
        <f>B7/(1+'Data Dump'!$F$17)^'Question 2'!A7</f>
        <v>1656.561148802695</v>
      </c>
      <c r="D7" s="20">
        <f>C7/((1+$C$19)^A7)</f>
        <v>114.02307581025535</v>
      </c>
    </row>
    <row r="8" spans="1:6" x14ac:dyDescent="0.2">
      <c r="A8" s="19">
        <v>4</v>
      </c>
      <c r="B8" s="20">
        <f>'Question 1'!D38</f>
        <v>1857.804423619461</v>
      </c>
      <c r="C8" s="20">
        <f>B8/(1+'Data Dump'!$F$17)^'Question 2'!A8</f>
        <v>1223.7933177417381</v>
      </c>
      <c r="D8" s="20">
        <f>C8/((1+$C$19)^A8)</f>
        <v>34.521404080710631</v>
      </c>
    </row>
    <row r="9" spans="1:6" x14ac:dyDescent="0.2">
      <c r="A9" s="19">
        <v>5</v>
      </c>
      <c r="B9" s="20">
        <f>'Question 1'!D39</f>
        <v>2746.4246559077446</v>
      </c>
      <c r="C9" s="20">
        <f>B9/(1+'Data Dump'!$F$17)^'Question 2'!A9</f>
        <v>1629.8693594612209</v>
      </c>
      <c r="D9" s="20">
        <f>C9/((1+$C$19)^A9)</f>
        <v>18.84205480567114</v>
      </c>
    </row>
    <row r="10" spans="1:6" x14ac:dyDescent="0.2">
      <c r="A10" s="19">
        <v>6</v>
      </c>
      <c r="B10" s="20">
        <f>'Question 1'!D40</f>
        <v>3023.305091320904</v>
      </c>
      <c r="C10" s="20">
        <f>B10/(1+'Data Dump'!$F$17)^'Question 2'!A10</f>
        <v>1616.3823617753083</v>
      </c>
      <c r="D10" s="20">
        <f>C10/((1+$C$19)^A10)</f>
        <v>7.6579876829447064</v>
      </c>
    </row>
    <row r="11" spans="1:6" x14ac:dyDescent="0.2">
      <c r="A11" s="19">
        <v>7</v>
      </c>
      <c r="B11" s="20">
        <f>'Question 1'!D41</f>
        <v>3327.8559413952908</v>
      </c>
      <c r="C11" s="20">
        <f>B11/(1+'Data Dump'!$F$17)^'Question 2'!A11</f>
        <v>1602.8898044059736</v>
      </c>
      <c r="D11" s="20">
        <f>C11/((1+$C$19)^A11)</f>
        <v>3.1122130591651613</v>
      </c>
    </row>
    <row r="12" spans="1:6" x14ac:dyDescent="0.2">
      <c r="A12" s="19">
        <v>8</v>
      </c>
      <c r="B12" s="20">
        <f>'Question 1'!D42</f>
        <v>3662.9452372907081</v>
      </c>
      <c r="C12" s="20">
        <f>B12/(1+'Data Dump'!$F$17)^'Question 2'!A12</f>
        <v>1589.4489929490792</v>
      </c>
      <c r="D12" s="20">
        <f>C12/((1+$C$19)^A12)</f>
        <v>1.264757732362616</v>
      </c>
    </row>
    <row r="13" spans="1:6" x14ac:dyDescent="0.2">
      <c r="A13" s="19">
        <v>9</v>
      </c>
      <c r="B13" s="20">
        <f>'Question 1'!D43</f>
        <v>4031.7495729582979</v>
      </c>
      <c r="C13" s="20">
        <f>B13/(1+'Data Dump'!$F$17)^'Question 2'!A13</f>
        <v>1576.1107803106627</v>
      </c>
      <c r="D13" s="20">
        <f>C13/((1+$C$19)^A13)</f>
        <v>0.51397569294439638</v>
      </c>
    </row>
    <row r="14" spans="1:6" x14ac:dyDescent="0.2">
      <c r="A14" s="19">
        <v>10</v>
      </c>
      <c r="B14" s="20">
        <f>'Question 1'!D44</f>
        <v>4437.7883275488748</v>
      </c>
      <c r="C14" s="20">
        <f>(B14/(1+'Data Dump'!$F$17)^'Question 2'!A14)-F4</f>
        <v>1362.9201690492137</v>
      </c>
      <c r="D14" s="20">
        <f>C14/((1+$C$19)^A14)</f>
        <v>0.18214671915824274</v>
      </c>
    </row>
    <row r="15" spans="1:6" ht="17" thickBot="1" x14ac:dyDescent="0.25">
      <c r="A15" s="21"/>
      <c r="B15" s="21"/>
      <c r="C15" s="23">
        <f>SUM(C4:C14)</f>
        <v>14459.939488210075</v>
      </c>
      <c r="D15" s="23">
        <f>SUM(D4:D14)</f>
        <v>-2.6124845162037169E-4</v>
      </c>
    </row>
    <row r="16" spans="1:6" ht="17" thickTop="1" x14ac:dyDescent="0.2"/>
    <row r="18" spans="2:4" x14ac:dyDescent="0.2">
      <c r="B18" s="15" t="s">
        <v>80</v>
      </c>
      <c r="C18" s="24">
        <f>IRR(C4:C14)</f>
        <v>1.4400843927175369</v>
      </c>
      <c r="D18" s="12" t="s">
        <v>81</v>
      </c>
    </row>
    <row r="19" spans="2:4" x14ac:dyDescent="0.2">
      <c r="B19" s="13" t="s">
        <v>80</v>
      </c>
      <c r="C19" s="25">
        <v>1.4400847266519514</v>
      </c>
      <c r="D19" s="14" t="s">
        <v>82</v>
      </c>
    </row>
  </sheetData>
  <phoneticPr fontId="3" type="noConversion"/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88EE53-4F43-734C-8208-FDEFA51C0B15}">
  <dimension ref="A1:C18"/>
  <sheetViews>
    <sheetView tabSelected="1" workbookViewId="0">
      <selection activeCell="I6" sqref="I6"/>
    </sheetView>
  </sheetViews>
  <sheetFormatPr baseColWidth="10" defaultRowHeight="16" x14ac:dyDescent="0.2"/>
  <cols>
    <col min="1" max="1" width="16" bestFit="1" customWidth="1"/>
    <col min="2" max="2" width="12.6640625" customWidth="1"/>
    <col min="3" max="3" width="15.6640625" customWidth="1"/>
  </cols>
  <sheetData>
    <row r="1" spans="1:3" ht="21" x14ac:dyDescent="0.25">
      <c r="A1" s="22" t="s">
        <v>91</v>
      </c>
    </row>
    <row r="3" spans="1:3" x14ac:dyDescent="0.2">
      <c r="A3" s="34" t="s">
        <v>79</v>
      </c>
      <c r="B3" s="34" t="s">
        <v>87</v>
      </c>
      <c r="C3" s="34" t="s">
        <v>88</v>
      </c>
    </row>
    <row r="4" spans="1:3" x14ac:dyDescent="0.2">
      <c r="A4" s="36">
        <v>0</v>
      </c>
      <c r="B4" s="35">
        <v>-1150</v>
      </c>
      <c r="C4" s="35">
        <f>'Question 2'!C4</f>
        <v>-1150</v>
      </c>
    </row>
    <row r="5" spans="1:3" x14ac:dyDescent="0.2">
      <c r="A5" s="37">
        <v>1</v>
      </c>
      <c r="B5" s="20">
        <f>'Question 1'!D35</f>
        <v>1867.4093749999981</v>
      </c>
      <c r="C5" s="20">
        <f>'Question 2'!C5</f>
        <v>1682.3507882882864</v>
      </c>
    </row>
    <row r="6" spans="1:3" x14ac:dyDescent="0.2">
      <c r="A6" s="37">
        <v>2</v>
      </c>
      <c r="B6" s="20">
        <f>'Question 1'!D36</f>
        <v>2057.1298882812489</v>
      </c>
      <c r="C6" s="20">
        <f>'Question 2'!C6</f>
        <v>1669.6127654258978</v>
      </c>
    </row>
    <row r="7" spans="1:3" x14ac:dyDescent="0.2">
      <c r="A7" s="37">
        <v>3</v>
      </c>
      <c r="B7" s="20">
        <f>'Question 1'!D37</f>
        <v>2265.5643804981792</v>
      </c>
      <c r="C7" s="20">
        <f>'Question 2'!C7</f>
        <v>1656.561148802695</v>
      </c>
    </row>
    <row r="8" spans="1:3" x14ac:dyDescent="0.2">
      <c r="A8" s="37">
        <v>4</v>
      </c>
      <c r="B8" s="20">
        <f>'Question 1'!D38</f>
        <v>1857.804423619461</v>
      </c>
      <c r="C8" s="20">
        <f>'Question 2'!C8</f>
        <v>1223.7933177417381</v>
      </c>
    </row>
    <row r="9" spans="1:3" x14ac:dyDescent="0.2">
      <c r="A9" s="37">
        <v>5</v>
      </c>
      <c r="B9" s="20">
        <f>'Question 1'!D39</f>
        <v>2746.4246559077446</v>
      </c>
      <c r="C9" s="20">
        <f>'Question 2'!C9</f>
        <v>1629.8693594612209</v>
      </c>
    </row>
    <row r="10" spans="1:3" x14ac:dyDescent="0.2">
      <c r="A10" s="37">
        <v>6</v>
      </c>
      <c r="B10" s="20">
        <f>'Question 1'!D40</f>
        <v>3023.305091320904</v>
      </c>
      <c r="C10" s="20">
        <f>'Question 2'!C10</f>
        <v>1616.3823617753083</v>
      </c>
    </row>
    <row r="11" spans="1:3" x14ac:dyDescent="0.2">
      <c r="A11" s="37">
        <v>7</v>
      </c>
      <c r="B11" s="20">
        <f>'Question 1'!D41</f>
        <v>3327.8559413952908</v>
      </c>
      <c r="C11" s="20">
        <f>'Question 2'!C11</f>
        <v>1602.8898044059736</v>
      </c>
    </row>
    <row r="12" spans="1:3" x14ac:dyDescent="0.2">
      <c r="A12" s="37">
        <v>8</v>
      </c>
      <c r="B12" s="20">
        <f>'Question 1'!D42</f>
        <v>3662.9452372907081</v>
      </c>
      <c r="C12" s="20">
        <f>'Question 2'!C12</f>
        <v>1589.4489929490792</v>
      </c>
    </row>
    <row r="13" spans="1:3" x14ac:dyDescent="0.2">
      <c r="A13" s="37">
        <v>9</v>
      </c>
      <c r="B13" s="20">
        <f>'Question 1'!D43</f>
        <v>4031.7495729582979</v>
      </c>
      <c r="C13" s="20">
        <f>'Question 2'!C13</f>
        <v>1576.1107803106627</v>
      </c>
    </row>
    <row r="14" spans="1:3" x14ac:dyDescent="0.2">
      <c r="A14" s="37">
        <v>10</v>
      </c>
      <c r="B14" s="20">
        <f>'Question 1'!D44</f>
        <v>4437.7883275488748</v>
      </c>
      <c r="C14" s="20">
        <f>'Question 2'!C14</f>
        <v>1362.9201690492137</v>
      </c>
    </row>
    <row r="16" spans="1:3" x14ac:dyDescent="0.2">
      <c r="A16" s="15" t="s">
        <v>90</v>
      </c>
      <c r="B16" s="27">
        <f>AVERAGE(B5:B14)</f>
        <v>2927.797689382071</v>
      </c>
    </row>
    <row r="17" spans="1:2" x14ac:dyDescent="0.2">
      <c r="A17" s="13" t="s">
        <v>89</v>
      </c>
      <c r="B17" s="28">
        <f>B16/'Data Dump'!F17</f>
        <v>26616.342630746101</v>
      </c>
    </row>
    <row r="18" spans="1:2" x14ac:dyDescent="0.2">
      <c r="B18" s="1"/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 Dump</vt:lpstr>
      <vt:lpstr>Question 1</vt:lpstr>
      <vt:lpstr>Question 2</vt:lpstr>
      <vt:lpstr>Question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2022-02-14T08:12:19Z</dcterms:created>
  <dcterms:modified xsi:type="dcterms:W3CDTF">2022-02-22T05:44:01Z</dcterms:modified>
</cp:coreProperties>
</file>